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 yWindow="4095" windowWidth="12120" windowHeight="4155" tabRatio="786"/>
  </bookViews>
  <sheets>
    <sheet name="目錄" sheetId="1" r:id="rId1"/>
    <sheet name="說明" sheetId="2" r:id="rId2"/>
    <sheet name="tot_wk" sheetId="3" r:id="rId3"/>
    <sheet name="總表" sheetId="4" r:id="rId4"/>
    <sheet name="gb_wk" sheetId="5" r:id="rId5"/>
    <sheet name="牙醫" sheetId="6" r:id="rId6"/>
    <sheet name="中醫" sheetId="7" r:id="rId7"/>
    <sheet name="西基 " sheetId="8" r:id="rId8"/>
    <sheet name="醫院 " sheetId="9" r:id="rId9"/>
    <sheet name="洗腎" sheetId="10" r:id="rId10"/>
    <sheet name="buu_wk" sheetId="11" r:id="rId11"/>
    <sheet name="T" sheetId="12" r:id="rId12"/>
    <sheet name="N" sheetId="13" r:id="rId13"/>
    <sheet name="C" sheetId="14" r:id="rId14"/>
    <sheet name="S" sheetId="15" r:id="rId15"/>
    <sheet name="K" sheetId="16" r:id="rId16"/>
    <sheet name="E" sheetId="17" r:id="rId17"/>
    <sheet name="分局別" sheetId="18" r:id="rId18"/>
    <sheet name="lev_wk" sheetId="19" r:id="rId19"/>
    <sheet name="醫學中心" sheetId="20" r:id="rId20"/>
    <sheet name="區域醫院" sheetId="21" r:id="rId21"/>
    <sheet name="地區醫院" sheetId="22" r:id="rId22"/>
    <sheet name="基層院所" sheetId="23" r:id="rId23"/>
    <sheet name="交付機構" sheetId="24" r:id="rId24"/>
  </sheets>
  <calcPr calcId="124519"/>
</workbook>
</file>

<file path=xl/calcChain.xml><?xml version="1.0" encoding="utf-8"?>
<calcChain xmlns="http://schemas.openxmlformats.org/spreadsheetml/2006/main">
  <c r="D2" i="11"/>
  <c r="E2"/>
  <c r="F2"/>
  <c r="G2"/>
  <c r="D3"/>
  <c r="E3"/>
  <c r="F3"/>
  <c r="G3"/>
  <c r="D4"/>
  <c r="E4"/>
  <c r="F4"/>
  <c r="G4"/>
  <c r="D5"/>
  <c r="E5"/>
  <c r="F5"/>
  <c r="G5"/>
  <c r="D6"/>
  <c r="E6"/>
  <c r="F6"/>
  <c r="G6"/>
  <c r="D7"/>
  <c r="E7"/>
  <c r="F7"/>
  <c r="G7"/>
  <c r="D8"/>
  <c r="E8"/>
  <c r="F8"/>
  <c r="G8"/>
  <c r="D9"/>
  <c r="E9"/>
  <c r="F9"/>
  <c r="G9"/>
  <c r="D10"/>
  <c r="E10"/>
  <c r="F10"/>
  <c r="G10"/>
  <c r="D11"/>
  <c r="E11"/>
  <c r="F11"/>
  <c r="G11"/>
  <c r="D12"/>
  <c r="E12"/>
  <c r="F12"/>
  <c r="G12"/>
  <c r="D13"/>
  <c r="E13"/>
  <c r="F13"/>
  <c r="G13"/>
  <c r="D14"/>
  <c r="E14"/>
  <c r="F14"/>
  <c r="G14"/>
  <c r="D15"/>
  <c r="E15"/>
  <c r="F15"/>
  <c r="G15"/>
  <c r="D16"/>
  <c r="E16"/>
  <c r="F16"/>
  <c r="G16"/>
  <c r="D17"/>
  <c r="E17"/>
  <c r="F17"/>
  <c r="G17"/>
  <c r="D18"/>
  <c r="E18"/>
  <c r="F18"/>
  <c r="G18"/>
  <c r="D19"/>
  <c r="E19"/>
  <c r="F19"/>
  <c r="G19"/>
  <c r="D20"/>
  <c r="E20"/>
  <c r="F20"/>
  <c r="G20"/>
  <c r="D21"/>
  <c r="E21"/>
  <c r="F21"/>
  <c r="G21"/>
  <c r="D22"/>
  <c r="E22"/>
  <c r="F22"/>
  <c r="G22"/>
  <c r="D23"/>
  <c r="E23"/>
  <c r="F23"/>
  <c r="G23"/>
  <c r="D24"/>
  <c r="E24"/>
  <c r="F24"/>
  <c r="G24"/>
  <c r="D25"/>
  <c r="E25"/>
  <c r="F25"/>
  <c r="G25"/>
  <c r="D26"/>
  <c r="E26"/>
  <c r="F26"/>
  <c r="G26"/>
  <c r="D27"/>
  <c r="E27"/>
  <c r="F27"/>
  <c r="G27"/>
  <c r="D28"/>
  <c r="E28"/>
  <c r="F28"/>
  <c r="G28"/>
  <c r="D29"/>
  <c r="E29"/>
  <c r="F29"/>
  <c r="G29"/>
  <c r="D30"/>
  <c r="E30"/>
  <c r="F30"/>
  <c r="G30"/>
  <c r="D31"/>
  <c r="E31"/>
  <c r="F31"/>
  <c r="G31"/>
  <c r="D32"/>
  <c r="E32"/>
  <c r="F32"/>
  <c r="G32"/>
  <c r="D33"/>
  <c r="E33"/>
  <c r="F33"/>
  <c r="G33"/>
  <c r="D34"/>
  <c r="E34"/>
  <c r="F34"/>
  <c r="G34"/>
  <c r="D35"/>
  <c r="E35"/>
  <c r="F35"/>
  <c r="G35"/>
  <c r="D36"/>
  <c r="E36"/>
  <c r="F36"/>
  <c r="G36"/>
  <c r="D37"/>
  <c r="E37"/>
  <c r="F37"/>
  <c r="G37"/>
  <c r="D38"/>
  <c r="E38"/>
  <c r="F38"/>
  <c r="G38"/>
  <c r="D39"/>
  <c r="E39"/>
  <c r="F39"/>
  <c r="G39"/>
  <c r="D40"/>
  <c r="E40"/>
  <c r="F40"/>
  <c r="G40"/>
  <c r="D41"/>
  <c r="E41"/>
  <c r="F41"/>
  <c r="G41"/>
  <c r="D42"/>
  <c r="E42"/>
  <c r="F42"/>
  <c r="G42"/>
  <c r="D43"/>
  <c r="E43"/>
  <c r="F43"/>
  <c r="G43"/>
  <c r="D44"/>
  <c r="E44"/>
  <c r="F44"/>
  <c r="G44"/>
  <c r="D45"/>
  <c r="E45"/>
  <c r="F45"/>
  <c r="G45"/>
  <c r="D46"/>
  <c r="E46"/>
  <c r="F46"/>
  <c r="G46"/>
  <c r="D47"/>
  <c r="E47"/>
  <c r="F47"/>
  <c r="G47"/>
  <c r="D48"/>
  <c r="E48"/>
  <c r="F48"/>
  <c r="G48"/>
  <c r="D49"/>
  <c r="E49"/>
  <c r="F49"/>
  <c r="G49"/>
  <c r="D50"/>
  <c r="E50"/>
  <c r="F50"/>
  <c r="G50"/>
  <c r="D51"/>
  <c r="E51"/>
  <c r="F51"/>
  <c r="G51"/>
  <c r="D52"/>
  <c r="E52"/>
  <c r="F52"/>
  <c r="G52"/>
  <c r="D53"/>
  <c r="E53"/>
  <c r="F53"/>
  <c r="G53"/>
  <c r="D54"/>
  <c r="E54"/>
  <c r="F54"/>
  <c r="G54"/>
  <c r="D55"/>
  <c r="E55"/>
  <c r="F55"/>
  <c r="G55"/>
  <c r="A4" i="14"/>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A4" i="17"/>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D2" i="5"/>
  <c r="E2"/>
  <c r="F2"/>
  <c r="G2"/>
  <c r="D3"/>
  <c r="E3"/>
  <c r="F3"/>
  <c r="G3"/>
  <c r="D4"/>
  <c r="E4"/>
  <c r="F4"/>
  <c r="G4"/>
  <c r="D5"/>
  <c r="E5"/>
  <c r="F5"/>
  <c r="G5"/>
  <c r="D6"/>
  <c r="E6"/>
  <c r="F6"/>
  <c r="G6"/>
  <c r="D7"/>
  <c r="E7"/>
  <c r="F7"/>
  <c r="G7"/>
  <c r="D8"/>
  <c r="E8"/>
  <c r="F8"/>
  <c r="G8"/>
  <c r="D9"/>
  <c r="E9"/>
  <c r="F9"/>
  <c r="G9"/>
  <c r="D10"/>
  <c r="E10"/>
  <c r="F10"/>
  <c r="G10"/>
  <c r="D11"/>
  <c r="E11"/>
  <c r="F11"/>
  <c r="G11"/>
  <c r="D12"/>
  <c r="E12"/>
  <c r="F12"/>
  <c r="G12"/>
  <c r="D13"/>
  <c r="E13"/>
  <c r="F13"/>
  <c r="G13"/>
  <c r="D14"/>
  <c r="E14"/>
  <c r="F14"/>
  <c r="G14"/>
  <c r="D15"/>
  <c r="E15"/>
  <c r="F15"/>
  <c r="G15"/>
  <c r="D16"/>
  <c r="E16"/>
  <c r="F16"/>
  <c r="G16"/>
  <c r="D17"/>
  <c r="E17"/>
  <c r="F17"/>
  <c r="G17"/>
  <c r="D18"/>
  <c r="E18"/>
  <c r="F18"/>
  <c r="G18"/>
  <c r="D19"/>
  <c r="E19"/>
  <c r="F19"/>
  <c r="G19"/>
  <c r="D20"/>
  <c r="E20"/>
  <c r="F20"/>
  <c r="G20"/>
  <c r="D21"/>
  <c r="E21"/>
  <c r="F21"/>
  <c r="G21"/>
  <c r="D22"/>
  <c r="E22"/>
  <c r="F22"/>
  <c r="G22"/>
  <c r="D23"/>
  <c r="E23"/>
  <c r="F23"/>
  <c r="G23"/>
  <c r="D24"/>
  <c r="E24"/>
  <c r="F24"/>
  <c r="G24"/>
  <c r="D25"/>
  <c r="E25"/>
  <c r="F25"/>
  <c r="G25"/>
  <c r="D26"/>
  <c r="E26"/>
  <c r="F26"/>
  <c r="G26"/>
  <c r="D27"/>
  <c r="E27"/>
  <c r="F27"/>
  <c r="G27"/>
  <c r="D28"/>
  <c r="E28"/>
  <c r="F28"/>
  <c r="G28"/>
  <c r="D29"/>
  <c r="E29"/>
  <c r="F29"/>
  <c r="G29"/>
  <c r="D30"/>
  <c r="E30"/>
  <c r="F30"/>
  <c r="G30"/>
  <c r="D31"/>
  <c r="E31"/>
  <c r="F31"/>
  <c r="G31"/>
  <c r="D32"/>
  <c r="E32"/>
  <c r="F32"/>
  <c r="G32"/>
  <c r="D33"/>
  <c r="E33"/>
  <c r="F33"/>
  <c r="G33"/>
  <c r="D34"/>
  <c r="E34"/>
  <c r="F34"/>
  <c r="G34"/>
  <c r="D35"/>
  <c r="E35"/>
  <c r="F35"/>
  <c r="G35"/>
  <c r="D36"/>
  <c r="E36"/>
  <c r="F36"/>
  <c r="G36"/>
  <c r="D37"/>
  <c r="E37"/>
  <c r="F37"/>
  <c r="G37"/>
  <c r="D38"/>
  <c r="E38"/>
  <c r="F38"/>
  <c r="G38"/>
  <c r="D39"/>
  <c r="E39"/>
  <c r="F39"/>
  <c r="G39"/>
  <c r="D40"/>
  <c r="E40"/>
  <c r="F40"/>
  <c r="G40"/>
  <c r="D41"/>
  <c r="E41"/>
  <c r="F41"/>
  <c r="G41"/>
  <c r="D42"/>
  <c r="E42"/>
  <c r="F42"/>
  <c r="G42"/>
  <c r="D43"/>
  <c r="E43"/>
  <c r="F43"/>
  <c r="G43"/>
  <c r="D44"/>
  <c r="E44"/>
  <c r="F44"/>
  <c r="G44"/>
  <c r="D45"/>
  <c r="E45"/>
  <c r="F45"/>
  <c r="G45"/>
  <c r="D46"/>
  <c r="E46"/>
  <c r="F46"/>
  <c r="G46"/>
  <c r="A4" i="16"/>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D2" i="19"/>
  <c r="E2"/>
  <c r="F2"/>
  <c r="G2"/>
  <c r="D3"/>
  <c r="E3"/>
  <c r="F3"/>
  <c r="G3"/>
  <c r="D4"/>
  <c r="E4"/>
  <c r="F4"/>
  <c r="G4"/>
  <c r="D5"/>
  <c r="E5"/>
  <c r="F5"/>
  <c r="G5"/>
  <c r="D6"/>
  <c r="E6"/>
  <c r="F6"/>
  <c r="G6"/>
  <c r="D7"/>
  <c r="E7"/>
  <c r="F7"/>
  <c r="G7"/>
  <c r="D8"/>
  <c r="E8"/>
  <c r="F8"/>
  <c r="G8"/>
  <c r="D9"/>
  <c r="E9"/>
  <c r="F9"/>
  <c r="G9"/>
  <c r="D10"/>
  <c r="E10"/>
  <c r="F10"/>
  <c r="G10"/>
  <c r="D11"/>
  <c r="E11"/>
  <c r="F11"/>
  <c r="G11"/>
  <c r="D12"/>
  <c r="E12"/>
  <c r="F12"/>
  <c r="G12"/>
  <c r="D13"/>
  <c r="E13"/>
  <c r="F13"/>
  <c r="G13"/>
  <c r="D14"/>
  <c r="E14"/>
  <c r="F14"/>
  <c r="G14"/>
  <c r="D15"/>
  <c r="E15"/>
  <c r="F15"/>
  <c r="G15"/>
  <c r="D16"/>
  <c r="E16"/>
  <c r="F16"/>
  <c r="G16"/>
  <c r="D17"/>
  <c r="E17"/>
  <c r="F17"/>
  <c r="G17"/>
  <c r="D18"/>
  <c r="E18"/>
  <c r="F18"/>
  <c r="G18"/>
  <c r="D19"/>
  <c r="E19"/>
  <c r="F19"/>
  <c r="G19"/>
  <c r="D20"/>
  <c r="E20"/>
  <c r="F20"/>
  <c r="G20"/>
  <c r="D21"/>
  <c r="E21"/>
  <c r="F21"/>
  <c r="G21"/>
  <c r="D22"/>
  <c r="E22"/>
  <c r="F22"/>
  <c r="G22"/>
  <c r="D23"/>
  <c r="E23"/>
  <c r="F23"/>
  <c r="G23"/>
  <c r="D24"/>
  <c r="E24"/>
  <c r="F24"/>
  <c r="G24"/>
  <c r="D25"/>
  <c r="E25"/>
  <c r="F25"/>
  <c r="G25"/>
  <c r="D26"/>
  <c r="E26"/>
  <c r="F26"/>
  <c r="G26"/>
  <c r="D27"/>
  <c r="E27"/>
  <c r="F27"/>
  <c r="G27"/>
  <c r="D28"/>
  <c r="E28"/>
  <c r="F28"/>
  <c r="G28"/>
  <c r="D29"/>
  <c r="E29"/>
  <c r="F29"/>
  <c r="G29"/>
  <c r="D30"/>
  <c r="E30"/>
  <c r="F30"/>
  <c r="G30"/>
  <c r="D31"/>
  <c r="E31"/>
  <c r="F31"/>
  <c r="G31"/>
  <c r="D32"/>
  <c r="E32"/>
  <c r="F32"/>
  <c r="G32"/>
  <c r="D33"/>
  <c r="E33"/>
  <c r="F33"/>
  <c r="G33"/>
  <c r="D34"/>
  <c r="E34"/>
  <c r="F34"/>
  <c r="G34"/>
  <c r="D35"/>
  <c r="E35"/>
  <c r="F35"/>
  <c r="G35"/>
  <c r="D36"/>
  <c r="E36"/>
  <c r="F36"/>
  <c r="G36"/>
  <c r="D37"/>
  <c r="E37"/>
  <c r="F37"/>
  <c r="G37"/>
  <c r="D38"/>
  <c r="E38"/>
  <c r="F38"/>
  <c r="G38"/>
  <c r="D39"/>
  <c r="E39"/>
  <c r="F39"/>
  <c r="G39"/>
  <c r="D40"/>
  <c r="E40"/>
  <c r="F40"/>
  <c r="G40"/>
  <c r="D41"/>
  <c r="E41"/>
  <c r="F41"/>
  <c r="G41"/>
  <c r="D42"/>
  <c r="E42"/>
  <c r="F42"/>
  <c r="G42"/>
  <c r="D43"/>
  <c r="E43"/>
  <c r="F43"/>
  <c r="G43"/>
  <c r="D44"/>
  <c r="E44"/>
  <c r="F44"/>
  <c r="G44"/>
  <c r="D45"/>
  <c r="E45"/>
  <c r="F45"/>
  <c r="G45"/>
  <c r="D46"/>
  <c r="E46"/>
  <c r="F46"/>
  <c r="G46"/>
  <c r="A4" i="13"/>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A4" i="15"/>
  <c r="B5"/>
  <c r="E5"/>
  <c r="G5"/>
  <c r="J5"/>
  <c r="L5"/>
  <c r="O5"/>
  <c r="F5" s="1"/>
  <c r="P5"/>
  <c r="H5" s="1"/>
  <c r="Q5"/>
  <c r="B6"/>
  <c r="E6"/>
  <c r="G6"/>
  <c r="J6"/>
  <c r="L6"/>
  <c r="O6"/>
  <c r="F6" s="1"/>
  <c r="P6"/>
  <c r="H6" s="1"/>
  <c r="Q6"/>
  <c r="B7"/>
  <c r="E7"/>
  <c r="G7"/>
  <c r="J7"/>
  <c r="L7"/>
  <c r="O7"/>
  <c r="F7" s="1"/>
  <c r="P7"/>
  <c r="H7" s="1"/>
  <c r="Q7"/>
  <c r="B8"/>
  <c r="E8"/>
  <c r="G8"/>
  <c r="J8"/>
  <c r="L8"/>
  <c r="O8"/>
  <c r="P8"/>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A4" i="12"/>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D2" i="3"/>
  <c r="E2"/>
  <c r="F2"/>
  <c r="G2"/>
  <c r="D3"/>
  <c r="E3"/>
  <c r="F3"/>
  <c r="G3"/>
  <c r="D4"/>
  <c r="E4"/>
  <c r="F4"/>
  <c r="G4"/>
  <c r="D5"/>
  <c r="E5"/>
  <c r="F5"/>
  <c r="G5"/>
  <c r="D6"/>
  <c r="E6"/>
  <c r="F6"/>
  <c r="G6"/>
  <c r="D7"/>
  <c r="E7"/>
  <c r="F7"/>
  <c r="G7"/>
  <c r="D8"/>
  <c r="E8"/>
  <c r="F8"/>
  <c r="G8"/>
  <c r="D9"/>
  <c r="E9"/>
  <c r="F9"/>
  <c r="G9"/>
  <c r="D10"/>
  <c r="E10"/>
  <c r="F10"/>
  <c r="G10"/>
  <c r="A4" i="7"/>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3"/>
  <c r="B33"/>
  <c r="A34"/>
  <c r="B34"/>
  <c r="B35"/>
  <c r="B36"/>
  <c r="B37"/>
  <c r="B38"/>
  <c r="B39"/>
  <c r="B40"/>
  <c r="A4" i="18"/>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Q12"/>
  <c r="B13"/>
  <c r="E13"/>
  <c r="G13"/>
  <c r="J13"/>
  <c r="L13"/>
  <c r="O13"/>
  <c r="F13" s="1"/>
  <c r="F14" s="1"/>
  <c r="P13"/>
  <c r="H13" s="1"/>
  <c r="H14" s="1"/>
  <c r="Q13"/>
  <c r="E14"/>
  <c r="G14"/>
  <c r="J14"/>
  <c r="L14"/>
  <c r="O14"/>
  <c r="P14"/>
  <c r="Q14"/>
  <c r="B15"/>
  <c r="E15"/>
  <c r="G15"/>
  <c r="J15"/>
  <c r="L15"/>
  <c r="O15"/>
  <c r="F15" s="1"/>
  <c r="F16" s="1"/>
  <c r="P15"/>
  <c r="H15" s="1"/>
  <c r="H16" s="1"/>
  <c r="Q15"/>
  <c r="E16"/>
  <c r="G16"/>
  <c r="J16"/>
  <c r="L16"/>
  <c r="O16"/>
  <c r="P16"/>
  <c r="Q16"/>
  <c r="B17"/>
  <c r="E18"/>
  <c r="G18"/>
  <c r="J18"/>
  <c r="L18"/>
  <c r="O18"/>
  <c r="P18"/>
  <c r="Q18"/>
  <c r="E19"/>
  <c r="G19"/>
  <c r="J19"/>
  <c r="L19"/>
  <c r="O19"/>
  <c r="F19" s="1"/>
  <c r="P19"/>
  <c r="H19" s="1"/>
  <c r="Q19"/>
  <c r="E20"/>
  <c r="G20"/>
  <c r="J20"/>
  <c r="L20"/>
  <c r="O20"/>
  <c r="P20"/>
  <c r="A31"/>
  <c r="B32"/>
  <c r="E32"/>
  <c r="G32"/>
  <c r="J32"/>
  <c r="L32"/>
  <c r="O32"/>
  <c r="F32" s="1"/>
  <c r="P32"/>
  <c r="H32" s="1"/>
  <c r="Q32"/>
  <c r="B33"/>
  <c r="E33"/>
  <c r="G33"/>
  <c r="J33"/>
  <c r="L33"/>
  <c r="O33"/>
  <c r="F33" s="1"/>
  <c r="P33"/>
  <c r="H33" s="1"/>
  <c r="Q33"/>
  <c r="B34"/>
  <c r="E34"/>
  <c r="G34"/>
  <c r="J34"/>
  <c r="L34"/>
  <c r="O34"/>
  <c r="F34" s="1"/>
  <c r="P34"/>
  <c r="H34" s="1"/>
  <c r="Q34"/>
  <c r="B35"/>
  <c r="E35"/>
  <c r="G35"/>
  <c r="J35"/>
  <c r="L35"/>
  <c r="O35"/>
  <c r="F35" s="1"/>
  <c r="P35"/>
  <c r="H35" s="1"/>
  <c r="Q35"/>
  <c r="E36"/>
  <c r="G36"/>
  <c r="J36"/>
  <c r="L36"/>
  <c r="O36"/>
  <c r="F36" s="1"/>
  <c r="P36"/>
  <c r="H36" s="1"/>
  <c r="Q36"/>
  <c r="A37"/>
  <c r="B38"/>
  <c r="E38"/>
  <c r="G38"/>
  <c r="J38"/>
  <c r="L38"/>
  <c r="O38"/>
  <c r="F38" s="1"/>
  <c r="F39" s="1"/>
  <c r="P38"/>
  <c r="H38" s="1"/>
  <c r="H39" s="1"/>
  <c r="Q38"/>
  <c r="E39"/>
  <c r="G39"/>
  <c r="J39"/>
  <c r="L39"/>
  <c r="O39"/>
  <c r="P39"/>
  <c r="Q39"/>
  <c r="B40"/>
  <c r="E40"/>
  <c r="G40"/>
  <c r="J40"/>
  <c r="L40"/>
  <c r="O40"/>
  <c r="F40" s="1"/>
  <c r="F41" s="1"/>
  <c r="P40"/>
  <c r="H40" s="1"/>
  <c r="H41" s="1"/>
  <c r="Q40"/>
  <c r="E41"/>
  <c r="G41"/>
  <c r="J41"/>
  <c r="L41"/>
  <c r="O41"/>
  <c r="P41"/>
  <c r="Q41"/>
  <c r="B42"/>
  <c r="E42"/>
  <c r="G42"/>
  <c r="J42"/>
  <c r="L42"/>
  <c r="O42"/>
  <c r="F42" s="1"/>
  <c r="F43" s="1"/>
  <c r="P42"/>
  <c r="H42" s="1"/>
  <c r="H43" s="1"/>
  <c r="Q42"/>
  <c r="E43"/>
  <c r="G43"/>
  <c r="J43"/>
  <c r="L43"/>
  <c r="O43"/>
  <c r="P43"/>
  <c r="Q43"/>
  <c r="B44"/>
  <c r="E44"/>
  <c r="G44"/>
  <c r="J44"/>
  <c r="L44"/>
  <c r="O44"/>
  <c r="F44" s="1"/>
  <c r="F45" s="1"/>
  <c r="P44"/>
  <c r="H44" s="1"/>
  <c r="H45" s="1"/>
  <c r="Q44"/>
  <c r="E45"/>
  <c r="G45"/>
  <c r="J45"/>
  <c r="L45"/>
  <c r="O45"/>
  <c r="P45"/>
  <c r="Q45"/>
  <c r="E46"/>
  <c r="G46"/>
  <c r="J46"/>
  <c r="L46"/>
  <c r="O46"/>
  <c r="F46" s="1"/>
  <c r="P46"/>
  <c r="H46" s="1"/>
  <c r="Q46"/>
  <c r="E47"/>
  <c r="G47"/>
  <c r="J47"/>
  <c r="L47"/>
  <c r="O47"/>
  <c r="P47"/>
  <c r="A57"/>
  <c r="B58"/>
  <c r="E58"/>
  <c r="G58"/>
  <c r="J58"/>
  <c r="L58"/>
  <c r="O58"/>
  <c r="F58" s="1"/>
  <c r="P58"/>
  <c r="H58" s="1"/>
  <c r="Q58"/>
  <c r="B59"/>
  <c r="E59"/>
  <c r="G59"/>
  <c r="J59"/>
  <c r="L59"/>
  <c r="O59"/>
  <c r="F59" s="1"/>
  <c r="P59"/>
  <c r="H59" s="1"/>
  <c r="Q59"/>
  <c r="B60"/>
  <c r="E60"/>
  <c r="G60"/>
  <c r="J60"/>
  <c r="L60"/>
  <c r="O60"/>
  <c r="F60" s="1"/>
  <c r="P60"/>
  <c r="H60" s="1"/>
  <c r="Q60"/>
  <c r="B61"/>
  <c r="E61"/>
  <c r="G61"/>
  <c r="J61"/>
  <c r="L61"/>
  <c r="O61"/>
  <c r="F61" s="1"/>
  <c r="P61"/>
  <c r="H61" s="1"/>
  <c r="Q61"/>
  <c r="E62"/>
  <c r="G62"/>
  <c r="J62"/>
  <c r="L62"/>
  <c r="O62"/>
  <c r="F62" s="1"/>
  <c r="P62"/>
  <c r="H62" s="1"/>
  <c r="Q62"/>
  <c r="B63"/>
  <c r="E63"/>
  <c r="G63"/>
  <c r="J63"/>
  <c r="L63"/>
  <c r="O63"/>
  <c r="F63" s="1"/>
  <c r="F64" s="1"/>
  <c r="P63"/>
  <c r="H63" s="1"/>
  <c r="H64" s="1"/>
  <c r="Q63"/>
  <c r="E64"/>
  <c r="G64"/>
  <c r="J64"/>
  <c r="L64"/>
  <c r="O64"/>
  <c r="P64"/>
  <c r="Q64"/>
  <c r="B65"/>
  <c r="E65"/>
  <c r="G65"/>
  <c r="J65"/>
  <c r="L65"/>
  <c r="O65"/>
  <c r="F65" s="1"/>
  <c r="F66" s="1"/>
  <c r="P65"/>
  <c r="H65" s="1"/>
  <c r="H66" s="1"/>
  <c r="Q65"/>
  <c r="E66"/>
  <c r="G66"/>
  <c r="J66"/>
  <c r="L66"/>
  <c r="O66"/>
  <c r="P66"/>
  <c r="Q66"/>
  <c r="B67"/>
  <c r="E67"/>
  <c r="G67"/>
  <c r="J67"/>
  <c r="L67"/>
  <c r="O67"/>
  <c r="F67" s="1"/>
  <c r="F68" s="1"/>
  <c r="P67"/>
  <c r="H67" s="1"/>
  <c r="H68" s="1"/>
  <c r="Q67"/>
  <c r="E68"/>
  <c r="G68"/>
  <c r="J68"/>
  <c r="L68"/>
  <c r="O68"/>
  <c r="P68"/>
  <c r="Q68"/>
  <c r="B69"/>
  <c r="E69"/>
  <c r="G69"/>
  <c r="J69"/>
  <c r="L69"/>
  <c r="O69"/>
  <c r="F69" s="1"/>
  <c r="F70" s="1"/>
  <c r="P69"/>
  <c r="H69" s="1"/>
  <c r="H70" s="1"/>
  <c r="Q69"/>
  <c r="E70"/>
  <c r="G70"/>
  <c r="J70"/>
  <c r="L70"/>
  <c r="O70"/>
  <c r="P70"/>
  <c r="Q70"/>
  <c r="E71"/>
  <c r="G71"/>
  <c r="J71"/>
  <c r="L71"/>
  <c r="O71"/>
  <c r="F71" s="1"/>
  <c r="P71"/>
  <c r="H71" s="1"/>
  <c r="Q71"/>
  <c r="E72"/>
  <c r="G72"/>
  <c r="J72"/>
  <c r="L72"/>
  <c r="O72"/>
  <c r="P72"/>
  <c r="A83"/>
  <c r="B84"/>
  <c r="E84"/>
  <c r="G84"/>
  <c r="J84"/>
  <c r="L84"/>
  <c r="O84"/>
  <c r="F84" s="1"/>
  <c r="P84"/>
  <c r="H84" s="1"/>
  <c r="Q84"/>
  <c r="B85"/>
  <c r="E85"/>
  <c r="G85"/>
  <c r="J85"/>
  <c r="L85"/>
  <c r="O85"/>
  <c r="F85" s="1"/>
  <c r="P85"/>
  <c r="H85" s="1"/>
  <c r="Q85"/>
  <c r="B86"/>
  <c r="E86"/>
  <c r="G86"/>
  <c r="J86"/>
  <c r="L86"/>
  <c r="O86"/>
  <c r="F86" s="1"/>
  <c r="P86"/>
  <c r="H86" s="1"/>
  <c r="Q86"/>
  <c r="B87"/>
  <c r="E87"/>
  <c r="G87"/>
  <c r="J87"/>
  <c r="L87"/>
  <c r="O87"/>
  <c r="F87" s="1"/>
  <c r="P87"/>
  <c r="H87" s="1"/>
  <c r="Q87"/>
  <c r="E88"/>
  <c r="G88"/>
  <c r="J88"/>
  <c r="L88"/>
  <c r="O88"/>
  <c r="F88" s="1"/>
  <c r="P88"/>
  <c r="H88" s="1"/>
  <c r="Q88"/>
  <c r="A89"/>
  <c r="B90"/>
  <c r="E90"/>
  <c r="G90"/>
  <c r="J90"/>
  <c r="L90"/>
  <c r="O90"/>
  <c r="F90" s="1"/>
  <c r="F91" s="1"/>
  <c r="P90"/>
  <c r="H90" s="1"/>
  <c r="H91" s="1"/>
  <c r="Q90"/>
  <c r="E91"/>
  <c r="G91"/>
  <c r="J91"/>
  <c r="L91"/>
  <c r="O91"/>
  <c r="P91"/>
  <c r="Q91"/>
  <c r="B92"/>
  <c r="E92"/>
  <c r="G92"/>
  <c r="J92"/>
  <c r="L92"/>
  <c r="O92"/>
  <c r="F92" s="1"/>
  <c r="P92"/>
  <c r="H92" s="1"/>
  <c r="Q92"/>
  <c r="B93"/>
  <c r="E93"/>
  <c r="G93"/>
  <c r="J93"/>
  <c r="L93"/>
  <c r="O93"/>
  <c r="F93" s="1"/>
  <c r="F94" s="1"/>
  <c r="P93"/>
  <c r="H93" s="1"/>
  <c r="H94" s="1"/>
  <c r="Q93"/>
  <c r="E94"/>
  <c r="G94"/>
  <c r="J94"/>
  <c r="L94"/>
  <c r="O94"/>
  <c r="P94"/>
  <c r="Q94"/>
  <c r="B95"/>
  <c r="E95"/>
  <c r="G95"/>
  <c r="J95"/>
  <c r="L95"/>
  <c r="O95"/>
  <c r="F95" s="1"/>
  <c r="F96" s="1"/>
  <c r="P95"/>
  <c r="H95" s="1"/>
  <c r="H96" s="1"/>
  <c r="Q95"/>
  <c r="E96"/>
  <c r="G96"/>
  <c r="J96"/>
  <c r="L96"/>
  <c r="O96"/>
  <c r="P96"/>
  <c r="Q96"/>
  <c r="E97"/>
  <c r="G97"/>
  <c r="J97"/>
  <c r="L97"/>
  <c r="O97"/>
  <c r="F97" s="1"/>
  <c r="P97"/>
  <c r="H97" s="1"/>
  <c r="Q97"/>
  <c r="E98"/>
  <c r="G98"/>
  <c r="J98"/>
  <c r="L98"/>
  <c r="O98"/>
  <c r="P98"/>
  <c r="A108"/>
  <c r="B109"/>
  <c r="E109"/>
  <c r="G109"/>
  <c r="J109"/>
  <c r="L109"/>
  <c r="O109"/>
  <c r="F109" s="1"/>
  <c r="P109"/>
  <c r="H109" s="1"/>
  <c r="Q109"/>
  <c r="B110"/>
  <c r="E110"/>
  <c r="G110"/>
  <c r="J110"/>
  <c r="L110"/>
  <c r="O110"/>
  <c r="F110" s="1"/>
  <c r="P110"/>
  <c r="H110" s="1"/>
  <c r="Q110"/>
  <c r="B111"/>
  <c r="E111"/>
  <c r="G111"/>
  <c r="J111"/>
  <c r="L111"/>
  <c r="O111"/>
  <c r="F111" s="1"/>
  <c r="P111"/>
  <c r="H111" s="1"/>
  <c r="Q111"/>
  <c r="B112"/>
  <c r="E112"/>
  <c r="G112"/>
  <c r="J112"/>
  <c r="L112"/>
  <c r="O112"/>
  <c r="F112" s="1"/>
  <c r="P112"/>
  <c r="H112" s="1"/>
  <c r="Q112"/>
  <c r="E113"/>
  <c r="G113"/>
  <c r="J113"/>
  <c r="L113"/>
  <c r="O113"/>
  <c r="F113" s="1"/>
  <c r="P113"/>
  <c r="H113" s="1"/>
  <c r="Q113"/>
  <c r="A114"/>
  <c r="B115"/>
  <c r="E115"/>
  <c r="G115"/>
  <c r="J115"/>
  <c r="L115"/>
  <c r="O115"/>
  <c r="F115" s="1"/>
  <c r="F116" s="1"/>
  <c r="P115"/>
  <c r="H115" s="1"/>
  <c r="H116" s="1"/>
  <c r="Q115"/>
  <c r="E116"/>
  <c r="G116"/>
  <c r="J116"/>
  <c r="L116"/>
  <c r="O116"/>
  <c r="P116"/>
  <c r="Q116"/>
  <c r="B117"/>
  <c r="E117"/>
  <c r="G117"/>
  <c r="J117"/>
  <c r="L117"/>
  <c r="O117"/>
  <c r="F117" s="1"/>
  <c r="F118" s="1"/>
  <c r="P117"/>
  <c r="H117" s="1"/>
  <c r="H118" s="1"/>
  <c r="Q117"/>
  <c r="E118"/>
  <c r="G118"/>
  <c r="J118"/>
  <c r="L118"/>
  <c r="O118"/>
  <c r="P118"/>
  <c r="Q118"/>
  <c r="B119"/>
  <c r="E119"/>
  <c r="G119"/>
  <c r="J119"/>
  <c r="L119"/>
  <c r="O119"/>
  <c r="F119" s="1"/>
  <c r="F120" s="1"/>
  <c r="P119"/>
  <c r="H119" s="1"/>
  <c r="H120" s="1"/>
  <c r="Q119"/>
  <c r="E120"/>
  <c r="G120"/>
  <c r="J120"/>
  <c r="L120"/>
  <c r="O120"/>
  <c r="P120"/>
  <c r="Q120"/>
  <c r="B121"/>
  <c r="E121"/>
  <c r="G121"/>
  <c r="J121"/>
  <c r="L121"/>
  <c r="O121"/>
  <c r="F121" s="1"/>
  <c r="F122" s="1"/>
  <c r="P121"/>
  <c r="H121" s="1"/>
  <c r="H122" s="1"/>
  <c r="Q121"/>
  <c r="E122"/>
  <c r="G122"/>
  <c r="J122"/>
  <c r="L122"/>
  <c r="O122"/>
  <c r="P122"/>
  <c r="Q122"/>
  <c r="E123"/>
  <c r="G123"/>
  <c r="J123"/>
  <c r="L123"/>
  <c r="O123"/>
  <c r="F123" s="1"/>
  <c r="P123"/>
  <c r="H123" s="1"/>
  <c r="Q123"/>
  <c r="E124"/>
  <c r="G124"/>
  <c r="J124"/>
  <c r="L124"/>
  <c r="O124"/>
  <c r="P124"/>
  <c r="A134"/>
  <c r="B135"/>
  <c r="E135"/>
  <c r="G135"/>
  <c r="J135"/>
  <c r="L135"/>
  <c r="O135"/>
  <c r="F135" s="1"/>
  <c r="P135"/>
  <c r="H135" s="1"/>
  <c r="Q135"/>
  <c r="B136"/>
  <c r="E136"/>
  <c r="G136"/>
  <c r="J136"/>
  <c r="L136"/>
  <c r="O136"/>
  <c r="F136" s="1"/>
  <c r="P136"/>
  <c r="H136" s="1"/>
  <c r="Q136"/>
  <c r="B137"/>
  <c r="E137"/>
  <c r="G137"/>
  <c r="J137"/>
  <c r="L137"/>
  <c r="O137"/>
  <c r="F137" s="1"/>
  <c r="P137"/>
  <c r="H137" s="1"/>
  <c r="Q137"/>
  <c r="B138"/>
  <c r="E138"/>
  <c r="G138"/>
  <c r="J138"/>
  <c r="L138"/>
  <c r="O138"/>
  <c r="F138" s="1"/>
  <c r="P138"/>
  <c r="H138" s="1"/>
  <c r="Q138"/>
  <c r="E139"/>
  <c r="G139"/>
  <c r="J139"/>
  <c r="L139"/>
  <c r="O139"/>
  <c r="F139" s="1"/>
  <c r="P139"/>
  <c r="H139" s="1"/>
  <c r="Q139"/>
  <c r="A140"/>
  <c r="B141"/>
  <c r="E141"/>
  <c r="G141"/>
  <c r="J141"/>
  <c r="L141"/>
  <c r="O141"/>
  <c r="F141" s="1"/>
  <c r="F142" s="1"/>
  <c r="P141"/>
  <c r="H141" s="1"/>
  <c r="H142" s="1"/>
  <c r="Q141"/>
  <c r="E142"/>
  <c r="G142"/>
  <c r="J142"/>
  <c r="L142"/>
  <c r="O142"/>
  <c r="P142"/>
  <c r="Q142"/>
  <c r="B143"/>
  <c r="E143"/>
  <c r="G143"/>
  <c r="J143"/>
  <c r="L143"/>
  <c r="O143"/>
  <c r="F143" s="1"/>
  <c r="F144" s="1"/>
  <c r="P143"/>
  <c r="H143" s="1"/>
  <c r="H144" s="1"/>
  <c r="Q143"/>
  <c r="E144"/>
  <c r="G144"/>
  <c r="J144"/>
  <c r="L144"/>
  <c r="O144"/>
  <c r="P144"/>
  <c r="Q144"/>
  <c r="B145"/>
  <c r="E145"/>
  <c r="G145"/>
  <c r="J145"/>
  <c r="L145"/>
  <c r="O145"/>
  <c r="F145" s="1"/>
  <c r="F146" s="1"/>
  <c r="P145"/>
  <c r="H145" s="1"/>
  <c r="H146" s="1"/>
  <c r="Q145"/>
  <c r="E146"/>
  <c r="G146"/>
  <c r="J146"/>
  <c r="L146"/>
  <c r="O146"/>
  <c r="P146"/>
  <c r="Q146"/>
  <c r="B147"/>
  <c r="E147"/>
  <c r="G147"/>
  <c r="J147"/>
  <c r="L147"/>
  <c r="O147"/>
  <c r="F147" s="1"/>
  <c r="F148" s="1"/>
  <c r="P147"/>
  <c r="H147" s="1"/>
  <c r="H148" s="1"/>
  <c r="Q147"/>
  <c r="E148"/>
  <c r="G148"/>
  <c r="J148"/>
  <c r="L148"/>
  <c r="O148"/>
  <c r="P148"/>
  <c r="Q148"/>
  <c r="E149"/>
  <c r="G149"/>
  <c r="J149"/>
  <c r="L149"/>
  <c r="O149"/>
  <c r="F149" s="1"/>
  <c r="P149"/>
  <c r="H149" s="1"/>
  <c r="Q149"/>
  <c r="E150"/>
  <c r="G150"/>
  <c r="J150"/>
  <c r="L150"/>
  <c r="O150"/>
  <c r="P150"/>
  <c r="A4" i="6"/>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P9"/>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3"/>
  <c r="B33"/>
  <c r="A34"/>
  <c r="B34"/>
  <c r="B35"/>
  <c r="B36"/>
  <c r="B37"/>
  <c r="B38"/>
  <c r="B39"/>
  <c r="B40"/>
  <c r="A4" i="24"/>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A4" i="22"/>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A4" i="8"/>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A4" i="10"/>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5"/>
  <c r="B35"/>
  <c r="A36"/>
  <c r="B36"/>
  <c r="B37"/>
  <c r="B38"/>
  <c r="B39"/>
  <c r="B40"/>
  <c r="B41"/>
  <c r="B42"/>
  <c r="A4" i="21"/>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4"/>
  <c r="B34"/>
  <c r="A35"/>
  <c r="B35"/>
  <c r="B36"/>
  <c r="B37"/>
  <c r="B38"/>
  <c r="B39"/>
  <c r="B40"/>
  <c r="B41"/>
  <c r="A4" i="23"/>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A4" i="4"/>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A4" i="9"/>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5"/>
  <c r="B35"/>
  <c r="A36"/>
  <c r="B36"/>
  <c r="B37"/>
  <c r="B38"/>
  <c r="B39"/>
  <c r="B40"/>
  <c r="B41"/>
  <c r="B42"/>
  <c r="A4" i="20"/>
  <c r="B5"/>
  <c r="E5"/>
  <c r="G5"/>
  <c r="J5"/>
  <c r="L5"/>
  <c r="O5"/>
  <c r="F5" s="1"/>
  <c r="P5"/>
  <c r="H5" s="1"/>
  <c r="Q5"/>
  <c r="B6"/>
  <c r="E6"/>
  <c r="G6"/>
  <c r="J6"/>
  <c r="L6"/>
  <c r="O6"/>
  <c r="F6" s="1"/>
  <c r="P6"/>
  <c r="H6" s="1"/>
  <c r="Q6"/>
  <c r="B7"/>
  <c r="E7"/>
  <c r="G7"/>
  <c r="J7"/>
  <c r="L7"/>
  <c r="O7"/>
  <c r="F7" s="1"/>
  <c r="P7"/>
  <c r="H7" s="1"/>
  <c r="Q7"/>
  <c r="B8"/>
  <c r="E8"/>
  <c r="G8"/>
  <c r="J8"/>
  <c r="L8"/>
  <c r="O8"/>
  <c r="F8" s="1"/>
  <c r="P8"/>
  <c r="H8" s="1"/>
  <c r="Q8"/>
  <c r="E9"/>
  <c r="G9"/>
  <c r="J9"/>
  <c r="L9"/>
  <c r="O9"/>
  <c r="F9" s="1"/>
  <c r="P9"/>
  <c r="H9" s="1"/>
  <c r="Q9"/>
  <c r="A10"/>
  <c r="B11"/>
  <c r="E11"/>
  <c r="G11"/>
  <c r="J11"/>
  <c r="L11"/>
  <c r="O11"/>
  <c r="F11" s="1"/>
  <c r="P11"/>
  <c r="H11" s="1"/>
  <c r="Q11"/>
  <c r="E12"/>
  <c r="G12"/>
  <c r="J12"/>
  <c r="L12"/>
  <c r="O12"/>
  <c r="P12"/>
  <c r="B13"/>
  <c r="E13"/>
  <c r="G13"/>
  <c r="J13"/>
  <c r="L13"/>
  <c r="O13"/>
  <c r="F13" s="1"/>
  <c r="P13"/>
  <c r="H13" s="1"/>
  <c r="Q13"/>
  <c r="E14"/>
  <c r="G14"/>
  <c r="J14"/>
  <c r="L14"/>
  <c r="O14"/>
  <c r="P14"/>
  <c r="B15"/>
  <c r="E15"/>
  <c r="G15"/>
  <c r="J15"/>
  <c r="L15"/>
  <c r="O15"/>
  <c r="F15" s="1"/>
  <c r="P15"/>
  <c r="H15" s="1"/>
  <c r="Q15"/>
  <c r="E16"/>
  <c r="G16"/>
  <c r="J16"/>
  <c r="L16"/>
  <c r="O16"/>
  <c r="P16"/>
  <c r="B17"/>
  <c r="E17"/>
  <c r="G17"/>
  <c r="J17"/>
  <c r="L17"/>
  <c r="O17"/>
  <c r="F17" s="1"/>
  <c r="P17"/>
  <c r="H17" s="1"/>
  <c r="Q17"/>
  <c r="E18"/>
  <c r="G18"/>
  <c r="J18"/>
  <c r="L18"/>
  <c r="O18"/>
  <c r="P18"/>
  <c r="E19"/>
  <c r="G19"/>
  <c r="J19"/>
  <c r="L19"/>
  <c r="O19"/>
  <c r="F19" s="1"/>
  <c r="P19"/>
  <c r="H19" s="1"/>
  <c r="Q19"/>
  <c r="E20"/>
  <c r="G20"/>
  <c r="J20"/>
  <c r="L20"/>
  <c r="O20"/>
  <c r="P20"/>
  <c r="A21"/>
  <c r="B22"/>
  <c r="E22"/>
  <c r="G22"/>
  <c r="J22"/>
  <c r="L22"/>
  <c r="O22"/>
  <c r="F22" s="1"/>
  <c r="P22"/>
  <c r="H22" s="1"/>
  <c r="Q22"/>
  <c r="E23"/>
  <c r="G23"/>
  <c r="J23"/>
  <c r="L23"/>
  <c r="O23"/>
  <c r="P23"/>
  <c r="B24"/>
  <c r="E24"/>
  <c r="G24"/>
  <c r="J24"/>
  <c r="L24"/>
  <c r="O24"/>
  <c r="F24" s="1"/>
  <c r="P24"/>
  <c r="H24" s="1"/>
  <c r="Q24"/>
  <c r="E25"/>
  <c r="G25"/>
  <c r="J25"/>
  <c r="L25"/>
  <c r="O25"/>
  <c r="P25"/>
  <c r="B26"/>
  <c r="E26"/>
  <c r="G26"/>
  <c r="J26"/>
  <c r="L26"/>
  <c r="O26"/>
  <c r="F26" s="1"/>
  <c r="P26"/>
  <c r="H26" s="1"/>
  <c r="Q26"/>
  <c r="E27"/>
  <c r="G27"/>
  <c r="J27"/>
  <c r="L27"/>
  <c r="O27"/>
  <c r="P27"/>
  <c r="B28"/>
  <c r="E28"/>
  <c r="G28"/>
  <c r="J28"/>
  <c r="L28"/>
  <c r="O28"/>
  <c r="F28" s="1"/>
  <c r="P28"/>
  <c r="H28" s="1"/>
  <c r="Q28"/>
  <c r="E29"/>
  <c r="G29"/>
  <c r="J29"/>
  <c r="L29"/>
  <c r="O29"/>
  <c r="P29"/>
  <c r="E30"/>
  <c r="G30"/>
  <c r="J30"/>
  <c r="L30"/>
  <c r="O30"/>
  <c r="F30" s="1"/>
  <c r="P30"/>
  <c r="H30" s="1"/>
  <c r="Q30"/>
  <c r="E31"/>
  <c r="G31"/>
  <c r="J31"/>
  <c r="L31"/>
  <c r="O31"/>
  <c r="P31"/>
  <c r="A32"/>
  <c r="B32"/>
  <c r="A33"/>
  <c r="B33"/>
  <c r="B34"/>
  <c r="B35"/>
  <c r="B36"/>
  <c r="B37"/>
  <c r="B38"/>
  <c r="B39"/>
  <c r="H9" i="6" l="1"/>
  <c r="M9"/>
  <c r="F9"/>
  <c r="K9"/>
  <c r="H12" i="18"/>
  <c r="H18"/>
  <c r="F12"/>
  <c r="F18"/>
  <c r="M30" i="20"/>
  <c r="K30"/>
  <c r="M28"/>
  <c r="K28"/>
  <c r="M26"/>
  <c r="K26"/>
  <c r="M24"/>
  <c r="K24"/>
  <c r="M22"/>
  <c r="K22"/>
  <c r="M19"/>
  <c r="K19"/>
  <c r="M17"/>
  <c r="K17"/>
  <c r="M15"/>
  <c r="K15"/>
  <c r="M13"/>
  <c r="K13"/>
  <c r="M11"/>
  <c r="K11"/>
  <c r="M9"/>
  <c r="K9"/>
  <c r="M8"/>
  <c r="K8"/>
  <c r="M7"/>
  <c r="K7"/>
  <c r="M6"/>
  <c r="K6"/>
  <c r="M5"/>
  <c r="K5"/>
  <c r="M30" i="9"/>
  <c r="K30"/>
  <c r="M28"/>
  <c r="K28"/>
  <c r="M26"/>
  <c r="K26"/>
  <c r="M24"/>
  <c r="K24"/>
  <c r="M22"/>
  <c r="K22"/>
  <c r="M19"/>
  <c r="K19"/>
  <c r="M17"/>
  <c r="K17"/>
  <c r="M15"/>
  <c r="K15"/>
  <c r="M13"/>
  <c r="K13"/>
  <c r="M11"/>
  <c r="K11"/>
  <c r="M9"/>
  <c r="K9"/>
  <c r="M8"/>
  <c r="K8"/>
  <c r="M7"/>
  <c r="K7"/>
  <c r="M6"/>
  <c r="K6"/>
  <c r="M5"/>
  <c r="K5"/>
  <c r="M30" i="4"/>
  <c r="K30"/>
  <c r="M28"/>
  <c r="K28"/>
  <c r="M26"/>
  <c r="K26"/>
  <c r="M24"/>
  <c r="K24"/>
  <c r="M22"/>
  <c r="K22"/>
  <c r="M19"/>
  <c r="K19"/>
  <c r="M17"/>
  <c r="K17"/>
  <c r="M15"/>
  <c r="K15"/>
  <c r="M13"/>
  <c r="K13"/>
  <c r="M11"/>
  <c r="K11"/>
  <c r="M9"/>
  <c r="K9"/>
  <c r="M8"/>
  <c r="K8"/>
  <c r="M7"/>
  <c r="K7"/>
  <c r="M6"/>
  <c r="K6"/>
  <c r="M5"/>
  <c r="K5"/>
  <c r="M30" i="23"/>
  <c r="K30"/>
  <c r="M28"/>
  <c r="K28"/>
  <c r="M26"/>
  <c r="K26"/>
  <c r="M24"/>
  <c r="K24"/>
  <c r="M22"/>
  <c r="K22"/>
  <c r="M19"/>
  <c r="K19"/>
  <c r="M17"/>
  <c r="K17"/>
  <c r="M15"/>
  <c r="K15"/>
  <c r="M13"/>
  <c r="K13"/>
  <c r="M11"/>
  <c r="K11"/>
  <c r="M9"/>
  <c r="K9"/>
  <c r="M8"/>
  <c r="K8"/>
  <c r="M7"/>
  <c r="K7"/>
  <c r="M6"/>
  <c r="K6"/>
  <c r="M5"/>
  <c r="K5"/>
  <c r="M30" i="21"/>
  <c r="K30"/>
  <c r="M28"/>
  <c r="K28"/>
  <c r="M26"/>
  <c r="K26"/>
  <c r="M24"/>
  <c r="K24"/>
  <c r="M22"/>
  <c r="K22"/>
  <c r="M19"/>
  <c r="K19"/>
  <c r="M17"/>
  <c r="K17"/>
  <c r="M15"/>
  <c r="K15"/>
  <c r="M13"/>
  <c r="K13"/>
  <c r="M11"/>
  <c r="K11"/>
  <c r="M9"/>
  <c r="K9"/>
  <c r="M8"/>
  <c r="K8"/>
  <c r="M7"/>
  <c r="K7"/>
  <c r="M6"/>
  <c r="K6"/>
  <c r="M5"/>
  <c r="K5"/>
  <c r="M30" i="10"/>
  <c r="K30"/>
  <c r="M28"/>
  <c r="K28"/>
  <c r="M26"/>
  <c r="K26"/>
  <c r="M24"/>
  <c r="K24"/>
  <c r="M22"/>
  <c r="K22"/>
  <c r="M19"/>
  <c r="K19"/>
  <c r="M17"/>
  <c r="K17"/>
  <c r="M15"/>
  <c r="K15"/>
  <c r="M13"/>
  <c r="K13"/>
  <c r="M11"/>
  <c r="K11"/>
  <c r="M9"/>
  <c r="K9"/>
  <c r="M8"/>
  <c r="K8"/>
  <c r="M7"/>
  <c r="K7"/>
  <c r="M6"/>
  <c r="K6"/>
  <c r="M5"/>
  <c r="K5"/>
  <c r="M30" i="8"/>
  <c r="K30"/>
  <c r="M28"/>
  <c r="K28"/>
  <c r="M26"/>
  <c r="K26"/>
  <c r="M24"/>
  <c r="K24"/>
  <c r="M22"/>
  <c r="K22"/>
  <c r="M19"/>
  <c r="K19"/>
  <c r="M17"/>
  <c r="K17"/>
  <c r="M15"/>
  <c r="K15"/>
  <c r="M13"/>
  <c r="K13"/>
  <c r="M11"/>
  <c r="K11"/>
  <c r="M9"/>
  <c r="K9"/>
  <c r="M8"/>
  <c r="K8"/>
  <c r="M7"/>
  <c r="K7"/>
  <c r="M6"/>
  <c r="K6"/>
  <c r="M5"/>
  <c r="K5"/>
  <c r="M30" i="22"/>
  <c r="K30"/>
  <c r="M28"/>
  <c r="K28"/>
  <c r="M26"/>
  <c r="K26"/>
  <c r="M24"/>
  <c r="K24"/>
  <c r="M22"/>
  <c r="K22"/>
  <c r="M19"/>
  <c r="K19"/>
  <c r="M17"/>
  <c r="K17"/>
  <c r="M15"/>
  <c r="K15"/>
  <c r="M13"/>
  <c r="K13"/>
  <c r="M11"/>
  <c r="K11"/>
  <c r="M9"/>
  <c r="K9"/>
  <c r="M8"/>
  <c r="K8"/>
  <c r="M7"/>
  <c r="K7"/>
  <c r="M6"/>
  <c r="K6"/>
  <c r="M5"/>
  <c r="K5"/>
  <c r="M30" i="24"/>
  <c r="K30"/>
  <c r="M28"/>
  <c r="K28"/>
  <c r="M26"/>
  <c r="K26"/>
  <c r="M24"/>
  <c r="K24"/>
  <c r="M22"/>
  <c r="K22"/>
  <c r="M19"/>
  <c r="K19"/>
  <c r="M17"/>
  <c r="K17"/>
  <c r="M15"/>
  <c r="K15"/>
  <c r="M13"/>
  <c r="K13"/>
  <c r="M11"/>
  <c r="K11"/>
  <c r="M9"/>
  <c r="K9"/>
  <c r="M8"/>
  <c r="K8"/>
  <c r="M7"/>
  <c r="K7"/>
  <c r="M6"/>
  <c r="K6"/>
  <c r="M5"/>
  <c r="K5"/>
  <c r="M30" i="6"/>
  <c r="K30"/>
  <c r="M28"/>
  <c r="K28"/>
  <c r="M26"/>
  <c r="K26"/>
  <c r="M24"/>
  <c r="K24"/>
  <c r="M22"/>
  <c r="K22"/>
  <c r="M19"/>
  <c r="K19"/>
  <c r="M17"/>
  <c r="K17"/>
  <c r="M15"/>
  <c r="K15"/>
  <c r="M13"/>
  <c r="K13"/>
  <c r="M11"/>
  <c r="K11"/>
  <c r="H8" i="15"/>
  <c r="M8"/>
  <c r="F8"/>
  <c r="K8"/>
  <c r="M8" i="6"/>
  <c r="K8"/>
  <c r="M7"/>
  <c r="K7"/>
  <c r="M6"/>
  <c r="K6"/>
  <c r="M5"/>
  <c r="K5"/>
  <c r="M149" i="18"/>
  <c r="K149"/>
  <c r="M147"/>
  <c r="K147"/>
  <c r="M145"/>
  <c r="K145"/>
  <c r="M143"/>
  <c r="K143"/>
  <c r="M141"/>
  <c r="K141"/>
  <c r="M139"/>
  <c r="K139"/>
  <c r="M138"/>
  <c r="K138"/>
  <c r="M137"/>
  <c r="K137"/>
  <c r="M136"/>
  <c r="K136"/>
  <c r="M135"/>
  <c r="K135"/>
  <c r="M123"/>
  <c r="K123"/>
  <c r="M121"/>
  <c r="K121"/>
  <c r="M119"/>
  <c r="K119"/>
  <c r="M117"/>
  <c r="K117"/>
  <c r="M115"/>
  <c r="K115"/>
  <c r="M113"/>
  <c r="K113"/>
  <c r="M112"/>
  <c r="K112"/>
  <c r="M111"/>
  <c r="K111"/>
  <c r="M110"/>
  <c r="K110"/>
  <c r="M109"/>
  <c r="K109"/>
  <c r="M97"/>
  <c r="K97"/>
  <c r="M95"/>
  <c r="M96" s="1"/>
  <c r="K95"/>
  <c r="K96" s="1"/>
  <c r="M93"/>
  <c r="K93"/>
  <c r="M92"/>
  <c r="K92"/>
  <c r="M90"/>
  <c r="K90"/>
  <c r="M88"/>
  <c r="K88"/>
  <c r="M87"/>
  <c r="K87"/>
  <c r="M86"/>
  <c r="K86"/>
  <c r="M85"/>
  <c r="K85"/>
  <c r="M84"/>
  <c r="K84"/>
  <c r="M71"/>
  <c r="K71"/>
  <c r="M69"/>
  <c r="K69"/>
  <c r="M67"/>
  <c r="K67"/>
  <c r="M65"/>
  <c r="K65"/>
  <c r="M63"/>
  <c r="M64" s="1"/>
  <c r="K63"/>
  <c r="K64" s="1"/>
  <c r="M62"/>
  <c r="K62"/>
  <c r="M61"/>
  <c r="K61"/>
  <c r="M60"/>
  <c r="K60"/>
  <c r="M59"/>
  <c r="K59"/>
  <c r="M58"/>
  <c r="K58"/>
  <c r="M46"/>
  <c r="K46"/>
  <c r="M44"/>
  <c r="K44"/>
  <c r="M42"/>
  <c r="K42"/>
  <c r="M40"/>
  <c r="K40"/>
  <c r="M38"/>
  <c r="K38"/>
  <c r="M36"/>
  <c r="K36"/>
  <c r="M35"/>
  <c r="K35"/>
  <c r="M34"/>
  <c r="K34"/>
  <c r="M33"/>
  <c r="K33"/>
  <c r="M32"/>
  <c r="K32"/>
  <c r="M19"/>
  <c r="K19"/>
  <c r="M15"/>
  <c r="K15"/>
  <c r="M13"/>
  <c r="K13"/>
  <c r="M11"/>
  <c r="K11"/>
  <c r="M9"/>
  <c r="K9"/>
  <c r="M8"/>
  <c r="K8"/>
  <c r="M7"/>
  <c r="K7"/>
  <c r="M6"/>
  <c r="K6"/>
  <c r="M5"/>
  <c r="K5"/>
  <c r="M30" i="7"/>
  <c r="K30"/>
  <c r="M28"/>
  <c r="K28"/>
  <c r="M26"/>
  <c r="K26"/>
  <c r="M24"/>
  <c r="K24"/>
  <c r="M22"/>
  <c r="K22"/>
  <c r="M19"/>
  <c r="K19"/>
  <c r="M17"/>
  <c r="K17"/>
  <c r="M15"/>
  <c r="K15"/>
  <c r="M13"/>
  <c r="K13"/>
  <c r="M11"/>
  <c r="K11"/>
  <c r="M9"/>
  <c r="K9"/>
  <c r="M8"/>
  <c r="K8"/>
  <c r="M7"/>
  <c r="K7"/>
  <c r="M6"/>
  <c r="K6"/>
  <c r="M5"/>
  <c r="K5"/>
  <c r="M30" i="12"/>
  <c r="K30"/>
  <c r="M28"/>
  <c r="K28"/>
  <c r="M26"/>
  <c r="K26"/>
  <c r="M24"/>
  <c r="K24"/>
  <c r="M22"/>
  <c r="K22"/>
  <c r="M19"/>
  <c r="K19"/>
  <c r="M17"/>
  <c r="K17"/>
  <c r="M15"/>
  <c r="K15"/>
  <c r="M13"/>
  <c r="K13"/>
  <c r="M11"/>
  <c r="K11"/>
  <c r="M9"/>
  <c r="K9"/>
  <c r="M8"/>
  <c r="K8"/>
  <c r="M7"/>
  <c r="K7"/>
  <c r="M6"/>
  <c r="K6"/>
  <c r="M5"/>
  <c r="K5"/>
  <c r="M30" i="15"/>
  <c r="K30"/>
  <c r="M28"/>
  <c r="K28"/>
  <c r="M26"/>
  <c r="K26"/>
  <c r="M24"/>
  <c r="K24"/>
  <c r="M22"/>
  <c r="K22"/>
  <c r="M19"/>
  <c r="K19"/>
  <c r="M17"/>
  <c r="K17"/>
  <c r="M15"/>
  <c r="K15"/>
  <c r="M13"/>
  <c r="K13"/>
  <c r="M11"/>
  <c r="K11"/>
  <c r="M9"/>
  <c r="K9"/>
  <c r="M7"/>
  <c r="K7"/>
  <c r="M6"/>
  <c r="K6"/>
  <c r="M5"/>
  <c r="K5"/>
  <c r="M30" i="13"/>
  <c r="K30"/>
  <c r="M28"/>
  <c r="K28"/>
  <c r="M26"/>
  <c r="K26"/>
  <c r="M24"/>
  <c r="K24"/>
  <c r="M22"/>
  <c r="K22"/>
  <c r="M19"/>
  <c r="K19"/>
  <c r="M17"/>
  <c r="K17"/>
  <c r="M15"/>
  <c r="K15"/>
  <c r="M13"/>
  <c r="K13"/>
  <c r="M11"/>
  <c r="K11"/>
  <c r="M9"/>
  <c r="K9"/>
  <c r="M8"/>
  <c r="K8"/>
  <c r="M7"/>
  <c r="K7"/>
  <c r="M6"/>
  <c r="K6"/>
  <c r="M5"/>
  <c r="K5"/>
  <c r="M30" i="16"/>
  <c r="K30"/>
  <c r="M28"/>
  <c r="K28"/>
  <c r="M26"/>
  <c r="K26"/>
  <c r="M24"/>
  <c r="K24"/>
  <c r="M22"/>
  <c r="K22"/>
  <c r="M19"/>
  <c r="K19"/>
  <c r="M17"/>
  <c r="K17"/>
  <c r="M15"/>
  <c r="K15"/>
  <c r="M13"/>
  <c r="K13"/>
  <c r="M11"/>
  <c r="K11"/>
  <c r="M9"/>
  <c r="K9"/>
  <c r="M8"/>
  <c r="K8"/>
  <c r="M7"/>
  <c r="K7"/>
  <c r="M6"/>
  <c r="K6"/>
  <c r="M5"/>
  <c r="K5"/>
  <c r="M30" i="17"/>
  <c r="K30"/>
  <c r="M28"/>
  <c r="K28"/>
  <c r="M26"/>
  <c r="K26"/>
  <c r="M24"/>
  <c r="K24"/>
  <c r="M22"/>
  <c r="K22"/>
  <c r="M19"/>
  <c r="K19"/>
  <c r="M17"/>
  <c r="K17"/>
  <c r="M15"/>
  <c r="K15"/>
  <c r="M13"/>
  <c r="K13"/>
  <c r="M11"/>
  <c r="K11"/>
  <c r="M9"/>
  <c r="K9"/>
  <c r="M8"/>
  <c r="K8"/>
  <c r="M7"/>
  <c r="K7"/>
  <c r="M6"/>
  <c r="K6"/>
  <c r="M5"/>
  <c r="K5"/>
  <c r="M30" i="14"/>
  <c r="K30"/>
  <c r="M28"/>
  <c r="K28"/>
  <c r="M26"/>
  <c r="K26"/>
  <c r="M24"/>
  <c r="K24"/>
  <c r="M22"/>
  <c r="K22"/>
  <c r="M19"/>
  <c r="K19"/>
  <c r="M17"/>
  <c r="K17"/>
  <c r="M15"/>
  <c r="K15"/>
  <c r="M13"/>
  <c r="K13"/>
  <c r="M11"/>
  <c r="K11"/>
  <c r="M9"/>
  <c r="K9"/>
  <c r="M8"/>
  <c r="K8"/>
  <c r="M7"/>
  <c r="K7"/>
  <c r="M6"/>
  <c r="K6"/>
  <c r="M5"/>
  <c r="K5"/>
  <c r="K12" i="18" l="1"/>
  <c r="K18"/>
  <c r="M12"/>
  <c r="M18"/>
  <c r="K14"/>
  <c r="M14"/>
  <c r="K16"/>
  <c r="M16"/>
  <c r="K39"/>
  <c r="M39"/>
  <c r="K41"/>
  <c r="M41"/>
  <c r="K43"/>
  <c r="M43"/>
  <c r="K45"/>
  <c r="M45"/>
  <c r="K66"/>
  <c r="M66"/>
  <c r="K68"/>
  <c r="M68"/>
  <c r="K70"/>
  <c r="M70"/>
  <c r="K91"/>
  <c r="M91"/>
  <c r="K94"/>
  <c r="M94"/>
  <c r="K116"/>
  <c r="M116"/>
  <c r="K118"/>
  <c r="M118"/>
  <c r="K120"/>
  <c r="M120"/>
  <c r="K122"/>
  <c r="M122"/>
  <c r="K142"/>
  <c r="M142"/>
  <c r="K144"/>
  <c r="M144"/>
  <c r="K146"/>
  <c r="M146"/>
  <c r="K148"/>
  <c r="M148"/>
</calcChain>
</file>

<file path=xl/sharedStrings.xml><?xml version="1.0" encoding="utf-8"?>
<sst xmlns="http://schemas.openxmlformats.org/spreadsheetml/2006/main" count="1425" uniqueCount="223">
  <si>
    <t>DECIDE_YEAR</t>
  </si>
  <si>
    <t>DECIDE_Q</t>
  </si>
  <si>
    <t>FLO_DOT</t>
  </si>
  <si>
    <t>FLO_AMT</t>
  </si>
  <si>
    <t>NFLO_DOT</t>
  </si>
  <si>
    <t>NFLO_AMT</t>
  </si>
  <si>
    <t>Q1</t>
  </si>
  <si>
    <t>Q2</t>
  </si>
  <si>
    <t>Q3</t>
  </si>
  <si>
    <t>Q4</t>
  </si>
  <si>
    <t>浮動點值</t>
    <phoneticPr fontId="5" type="noConversion"/>
  </si>
  <si>
    <t>固定點值</t>
    <phoneticPr fontId="5" type="noConversion"/>
  </si>
  <si>
    <t>合計</t>
    <phoneticPr fontId="5" type="noConversion"/>
  </si>
  <si>
    <t>年</t>
    <phoneticPr fontId="5" type="noConversion"/>
  </si>
  <si>
    <t>季</t>
    <phoneticPr fontId="5" type="noConversion"/>
  </si>
  <si>
    <t>項目</t>
    <phoneticPr fontId="5" type="noConversion"/>
  </si>
  <si>
    <t>核定醫療
點數(百萬)</t>
    <phoneticPr fontId="5" type="noConversion"/>
  </si>
  <si>
    <t>佔率</t>
    <phoneticPr fontId="5" type="noConversion"/>
  </si>
  <si>
    <t>核定費用</t>
    <phoneticPr fontId="5" type="noConversion"/>
  </si>
  <si>
    <t>收益比</t>
    <phoneticPr fontId="5" type="noConversion"/>
  </si>
  <si>
    <t>值</t>
    <phoneticPr fontId="5" type="noConversion"/>
  </si>
  <si>
    <t>小計</t>
    <phoneticPr fontId="5" type="noConversion"/>
  </si>
  <si>
    <t>成長</t>
    <phoneticPr fontId="5" type="noConversion"/>
  </si>
  <si>
    <t>branch_code</t>
  </si>
  <si>
    <t>c</t>
  </si>
  <si>
    <t>e</t>
  </si>
  <si>
    <t>k</t>
  </si>
  <si>
    <t>n</t>
  </si>
  <si>
    <t>s</t>
  </si>
  <si>
    <t>t</t>
  </si>
  <si>
    <r>
      <t>中央健康保險局醫療費用總額核付情形統計</t>
    </r>
    <r>
      <rPr>
        <sz val="18"/>
        <rFont val="Times New Roman"/>
        <family val="1"/>
      </rPr>
      <t>_</t>
    </r>
    <r>
      <rPr>
        <sz val="18"/>
        <rFont val="標楷體"/>
        <family val="4"/>
        <charset val="136"/>
      </rPr>
      <t>台北分局</t>
    </r>
    <phoneticPr fontId="5" type="noConversion"/>
  </si>
  <si>
    <r>
      <t>中央健康保險局醫療費用總額核付情形統計</t>
    </r>
    <r>
      <rPr>
        <sz val="18"/>
        <rFont val="Times New Roman"/>
        <family val="1"/>
      </rPr>
      <t>_</t>
    </r>
    <r>
      <rPr>
        <sz val="18"/>
        <rFont val="標楷體"/>
        <family val="4"/>
        <charset val="136"/>
      </rPr>
      <t>北區分局</t>
    </r>
    <phoneticPr fontId="5" type="noConversion"/>
  </si>
  <si>
    <r>
      <t>中央健康保險局醫療費用總額核付情形統計</t>
    </r>
    <r>
      <rPr>
        <sz val="18"/>
        <rFont val="Times New Roman"/>
        <family val="1"/>
      </rPr>
      <t>_</t>
    </r>
    <r>
      <rPr>
        <sz val="18"/>
        <rFont val="標楷體"/>
        <family val="4"/>
        <charset val="136"/>
      </rPr>
      <t>中區分局</t>
    </r>
    <phoneticPr fontId="5" type="noConversion"/>
  </si>
  <si>
    <r>
      <t>中央健康保險局醫療費用總額核付情形統計</t>
    </r>
    <r>
      <rPr>
        <sz val="18"/>
        <rFont val="Times New Roman"/>
        <family val="1"/>
      </rPr>
      <t>_</t>
    </r>
    <r>
      <rPr>
        <sz val="18"/>
        <rFont val="標楷體"/>
        <family val="4"/>
        <charset val="136"/>
      </rPr>
      <t>南區分局</t>
    </r>
    <phoneticPr fontId="5" type="noConversion"/>
  </si>
  <si>
    <r>
      <t>中央健康保險局醫療費用總額核付情形統計</t>
    </r>
    <r>
      <rPr>
        <sz val="18"/>
        <rFont val="Times New Roman"/>
        <family val="1"/>
      </rPr>
      <t>_</t>
    </r>
    <r>
      <rPr>
        <sz val="18"/>
        <rFont val="標楷體"/>
        <family val="4"/>
        <charset val="136"/>
      </rPr>
      <t>高屏分局</t>
    </r>
    <phoneticPr fontId="5" type="noConversion"/>
  </si>
  <si>
    <r>
      <t>中央健康保險局醫療費用總額核付情形統計</t>
    </r>
    <r>
      <rPr>
        <sz val="18"/>
        <rFont val="Times New Roman"/>
        <family val="1"/>
      </rPr>
      <t>_</t>
    </r>
    <r>
      <rPr>
        <sz val="18"/>
        <rFont val="標楷體"/>
        <family val="4"/>
        <charset val="136"/>
      </rPr>
      <t>東區分局</t>
    </r>
    <phoneticPr fontId="5" type="noConversion"/>
  </si>
  <si>
    <r>
      <t>說明</t>
    </r>
    <r>
      <rPr>
        <sz val="12"/>
        <rFont val="Times New Roman"/>
        <family val="1"/>
      </rPr>
      <t>:</t>
    </r>
    <phoneticPr fontId="5" type="noConversion"/>
  </si>
  <si>
    <t>1.資料來源:2006年5月資訊處提供之「總額各案件核定醫療費用分攤明細檔」(PHFB_DECIDE_DIST)</t>
    <phoneticPr fontId="5" type="noConversion"/>
  </si>
  <si>
    <t>2.資料定義:</t>
    <phoneticPr fontId="5" type="noConversion"/>
  </si>
  <si>
    <r>
      <t xml:space="preserve">   </t>
    </r>
    <r>
      <rPr>
        <sz val="12"/>
        <rFont val="標楷體"/>
        <family val="4"/>
        <charset val="136"/>
      </rPr>
      <t xml:space="preserve">(1)核定醫療點數及核付金額均包含部分負擔     </t>
    </r>
    <phoneticPr fontId="5" type="noConversion"/>
  </si>
  <si>
    <r>
      <t xml:space="preserve">   </t>
    </r>
    <r>
      <rPr>
        <sz val="12"/>
        <rFont val="標楷體"/>
        <family val="4"/>
        <charset val="136"/>
      </rPr>
      <t>(2)本表不包含「總額外費用」,「公務預算」及本局「代辦費用」</t>
    </r>
    <phoneticPr fontId="5" type="noConversion"/>
  </si>
  <si>
    <r>
      <t>3</t>
    </r>
    <r>
      <rPr>
        <sz val="12"/>
        <rFont val="標楷體"/>
        <family val="4"/>
        <charset val="136"/>
      </rPr>
      <t>.製表日期:2006/05/10</t>
    </r>
    <phoneticPr fontId="5" type="noConversion"/>
  </si>
  <si>
    <t>浮動點值</t>
    <phoneticPr fontId="5" type="noConversion"/>
  </si>
  <si>
    <t>固定點值</t>
    <phoneticPr fontId="5" type="noConversion"/>
  </si>
  <si>
    <t>合計</t>
    <phoneticPr fontId="5" type="noConversion"/>
  </si>
  <si>
    <t>年</t>
    <phoneticPr fontId="5" type="noConversion"/>
  </si>
  <si>
    <t>季</t>
    <phoneticPr fontId="5" type="noConversion"/>
  </si>
  <si>
    <t>項目</t>
    <phoneticPr fontId="5" type="noConversion"/>
  </si>
  <si>
    <t>佔率</t>
    <phoneticPr fontId="5" type="noConversion"/>
  </si>
  <si>
    <t>值</t>
    <phoneticPr fontId="5" type="noConversion"/>
  </si>
  <si>
    <t>小計</t>
    <phoneticPr fontId="5" type="noConversion"/>
  </si>
  <si>
    <t>成長</t>
    <phoneticPr fontId="5" type="noConversion"/>
  </si>
  <si>
    <t>浮動點值</t>
    <phoneticPr fontId="5" type="noConversion"/>
  </si>
  <si>
    <t>固定點值</t>
    <phoneticPr fontId="5" type="noConversion"/>
  </si>
  <si>
    <t>合計</t>
    <phoneticPr fontId="5" type="noConversion"/>
  </si>
  <si>
    <t>年</t>
    <phoneticPr fontId="5" type="noConversion"/>
  </si>
  <si>
    <t>季</t>
    <phoneticPr fontId="5" type="noConversion"/>
  </si>
  <si>
    <t>項目</t>
    <phoneticPr fontId="5" type="noConversion"/>
  </si>
  <si>
    <t>佔率</t>
    <phoneticPr fontId="5" type="noConversion"/>
  </si>
  <si>
    <t>值</t>
    <phoneticPr fontId="5" type="noConversion"/>
  </si>
  <si>
    <t>小計</t>
    <phoneticPr fontId="5" type="noConversion"/>
  </si>
  <si>
    <t>成長</t>
    <phoneticPr fontId="5" type="noConversion"/>
  </si>
  <si>
    <t>浮動點值</t>
    <phoneticPr fontId="5" type="noConversion"/>
  </si>
  <si>
    <t>固定點值</t>
    <phoneticPr fontId="5" type="noConversion"/>
  </si>
  <si>
    <t>合計</t>
    <phoneticPr fontId="5" type="noConversion"/>
  </si>
  <si>
    <t>年</t>
    <phoneticPr fontId="5" type="noConversion"/>
  </si>
  <si>
    <t>季</t>
    <phoneticPr fontId="5" type="noConversion"/>
  </si>
  <si>
    <t>項目</t>
    <phoneticPr fontId="5" type="noConversion"/>
  </si>
  <si>
    <t>佔率</t>
    <phoneticPr fontId="5" type="noConversion"/>
  </si>
  <si>
    <t>值</t>
    <phoneticPr fontId="5" type="noConversion"/>
  </si>
  <si>
    <t>小計</t>
    <phoneticPr fontId="5" type="noConversion"/>
  </si>
  <si>
    <t>成長</t>
    <phoneticPr fontId="5" type="noConversion"/>
  </si>
  <si>
    <t>浮動點值</t>
    <phoneticPr fontId="5" type="noConversion"/>
  </si>
  <si>
    <t>固定點值</t>
    <phoneticPr fontId="5" type="noConversion"/>
  </si>
  <si>
    <t>合計</t>
    <phoneticPr fontId="5" type="noConversion"/>
  </si>
  <si>
    <t>年</t>
    <phoneticPr fontId="5" type="noConversion"/>
  </si>
  <si>
    <t>季</t>
    <phoneticPr fontId="5" type="noConversion"/>
  </si>
  <si>
    <t>項目</t>
    <phoneticPr fontId="5" type="noConversion"/>
  </si>
  <si>
    <t>佔率</t>
    <phoneticPr fontId="5" type="noConversion"/>
  </si>
  <si>
    <t>值</t>
    <phoneticPr fontId="5" type="noConversion"/>
  </si>
  <si>
    <t>小計</t>
    <phoneticPr fontId="5" type="noConversion"/>
  </si>
  <si>
    <t>成長</t>
    <phoneticPr fontId="5" type="noConversion"/>
  </si>
  <si>
    <t>浮動點值</t>
    <phoneticPr fontId="5" type="noConversion"/>
  </si>
  <si>
    <t>固定點值</t>
    <phoneticPr fontId="5" type="noConversion"/>
  </si>
  <si>
    <t>合計</t>
    <phoneticPr fontId="5" type="noConversion"/>
  </si>
  <si>
    <t>年</t>
    <phoneticPr fontId="5" type="noConversion"/>
  </si>
  <si>
    <t>季</t>
    <phoneticPr fontId="5" type="noConversion"/>
  </si>
  <si>
    <t>項目</t>
    <phoneticPr fontId="5" type="noConversion"/>
  </si>
  <si>
    <t>佔率</t>
    <phoneticPr fontId="5" type="noConversion"/>
  </si>
  <si>
    <t>值</t>
    <phoneticPr fontId="5" type="noConversion"/>
  </si>
  <si>
    <t>小計</t>
    <phoneticPr fontId="5" type="noConversion"/>
  </si>
  <si>
    <t>成長</t>
    <phoneticPr fontId="5" type="noConversion"/>
  </si>
  <si>
    <t>BUG_DEPT</t>
  </si>
  <si>
    <t>特約類別</t>
  </si>
  <si>
    <t>浮動點值</t>
    <phoneticPr fontId="5" type="noConversion"/>
  </si>
  <si>
    <t>固定點值</t>
    <phoneticPr fontId="5" type="noConversion"/>
  </si>
  <si>
    <t>合計</t>
    <phoneticPr fontId="5" type="noConversion"/>
  </si>
  <si>
    <t>年</t>
    <phoneticPr fontId="5" type="noConversion"/>
  </si>
  <si>
    <t>季</t>
    <phoneticPr fontId="5" type="noConversion"/>
  </si>
  <si>
    <t>項目</t>
    <phoneticPr fontId="5" type="noConversion"/>
  </si>
  <si>
    <t>佔率</t>
    <phoneticPr fontId="5" type="noConversion"/>
  </si>
  <si>
    <t>值</t>
    <phoneticPr fontId="5" type="noConversion"/>
  </si>
  <si>
    <t>小計</t>
    <phoneticPr fontId="5" type="noConversion"/>
  </si>
  <si>
    <t>成長</t>
    <phoneticPr fontId="5" type="noConversion"/>
  </si>
  <si>
    <t>浮動點值</t>
    <phoneticPr fontId="5" type="noConversion"/>
  </si>
  <si>
    <t>固定點值</t>
    <phoneticPr fontId="5" type="noConversion"/>
  </si>
  <si>
    <t>合計</t>
    <phoneticPr fontId="5" type="noConversion"/>
  </si>
  <si>
    <t>年</t>
    <phoneticPr fontId="5" type="noConversion"/>
  </si>
  <si>
    <t>季</t>
    <phoneticPr fontId="5" type="noConversion"/>
  </si>
  <si>
    <t>項目</t>
    <phoneticPr fontId="5" type="noConversion"/>
  </si>
  <si>
    <t>佔率</t>
    <phoneticPr fontId="5" type="noConversion"/>
  </si>
  <si>
    <t>值</t>
    <phoneticPr fontId="5" type="noConversion"/>
  </si>
  <si>
    <t>小計</t>
    <phoneticPr fontId="5" type="noConversion"/>
  </si>
  <si>
    <t>成長</t>
    <phoneticPr fontId="5" type="noConversion"/>
  </si>
  <si>
    <t>浮動點值</t>
    <phoneticPr fontId="5" type="noConversion"/>
  </si>
  <si>
    <t>固定點值</t>
    <phoneticPr fontId="5" type="noConversion"/>
  </si>
  <si>
    <t>合計</t>
    <phoneticPr fontId="5" type="noConversion"/>
  </si>
  <si>
    <t>年</t>
    <phoneticPr fontId="5" type="noConversion"/>
  </si>
  <si>
    <t>季</t>
    <phoneticPr fontId="5" type="noConversion"/>
  </si>
  <si>
    <t>項目</t>
    <phoneticPr fontId="5" type="noConversion"/>
  </si>
  <si>
    <t>佔率</t>
    <phoneticPr fontId="5" type="noConversion"/>
  </si>
  <si>
    <t>值</t>
    <phoneticPr fontId="5" type="noConversion"/>
  </si>
  <si>
    <t>小計</t>
    <phoneticPr fontId="5" type="noConversion"/>
  </si>
  <si>
    <t>成長</t>
    <phoneticPr fontId="5" type="noConversion"/>
  </si>
  <si>
    <t>分
類</t>
    <phoneticPr fontId="5" type="noConversion"/>
  </si>
  <si>
    <t>表號</t>
    <phoneticPr fontId="5" type="noConversion"/>
  </si>
  <si>
    <t>報表名稱</t>
    <phoneticPr fontId="5" type="noConversion"/>
  </si>
  <si>
    <t>總表</t>
    <phoneticPr fontId="5" type="noConversion"/>
  </si>
  <si>
    <t>表1</t>
    <phoneticPr fontId="5" type="noConversion"/>
  </si>
  <si>
    <t>總額別</t>
    <phoneticPr fontId="5" type="noConversion"/>
  </si>
  <si>
    <t>分局別</t>
    <phoneticPr fontId="5" type="noConversion"/>
  </si>
  <si>
    <t>層級別</t>
    <phoneticPr fontId="5" type="noConversion"/>
  </si>
  <si>
    <t>一、</t>
    <phoneticPr fontId="5" type="noConversion"/>
  </si>
  <si>
    <t>報表產製源起：</t>
    <phoneticPr fontId="5" type="noConversion"/>
  </si>
  <si>
    <t>1.</t>
    <phoneticPr fontId="5" type="noConversion"/>
  </si>
  <si>
    <t>總額支付制度全面實施後醫療點數無法充分反應實際醫療費用狀況</t>
    <phoneticPr fontId="5" type="noConversion"/>
  </si>
  <si>
    <t>2.</t>
    <phoneticPr fontId="5" type="noConversion"/>
  </si>
  <si>
    <t>配合各界紛紛要求以實際醫療費用產製相關統計之需求</t>
    <phoneticPr fontId="5" type="noConversion"/>
  </si>
  <si>
    <t>二、</t>
    <phoneticPr fontId="5" type="noConversion"/>
  </si>
  <si>
    <t>設計架構：</t>
    <phoneticPr fontId="5" type="noConversion"/>
  </si>
  <si>
    <t>配合各總額共通性之分配架構，將費用區分為浮動點值及固定點值兩部分來呈現</t>
    <phoneticPr fontId="5" type="noConversion"/>
  </si>
  <si>
    <t>3.</t>
    <phoneticPr fontId="5" type="noConversion"/>
  </si>
  <si>
    <t>三、</t>
    <phoneticPr fontId="5" type="noConversion"/>
  </si>
  <si>
    <t>製表週期及資料年：</t>
    <phoneticPr fontId="5" type="noConversion"/>
  </si>
  <si>
    <t>配合總額結算時點每季產製</t>
    <phoneticPr fontId="5" type="noConversion"/>
  </si>
  <si>
    <t>總額結算檔案建製始於93年，本系列資料自93年第一季起開始呈現</t>
    <phoneticPr fontId="5" type="noConversion"/>
  </si>
  <si>
    <t>本資料每季結算後產製，維持2年各季資料及3年之年資料</t>
    <phoneticPr fontId="5" type="noConversion"/>
  </si>
  <si>
    <t>四、</t>
    <phoneticPr fontId="5" type="noConversion"/>
  </si>
  <si>
    <t>產製報表</t>
    <phoneticPr fontId="5" type="noConversion"/>
  </si>
  <si>
    <t>總額別醫療服務核定醫療點數及費用統計</t>
    <phoneticPr fontId="5" type="noConversion"/>
  </si>
  <si>
    <t>層級別醫療服務核定醫療點數及費用統計</t>
    <phoneticPr fontId="5" type="noConversion"/>
  </si>
  <si>
    <t>分局別醫療服務核定醫療點數及費用統計</t>
    <phoneticPr fontId="5" type="noConversion"/>
  </si>
  <si>
    <t>五、</t>
    <phoneticPr fontId="5" type="noConversion"/>
  </si>
  <si>
    <t>資料來源及處理</t>
    <phoneticPr fontId="5" type="noConversion"/>
  </si>
  <si>
    <r>
      <t>資料來源：總額各案件核定醫療費用分攤明細</t>
    </r>
    <r>
      <rPr>
        <sz val="12"/>
        <rFont val="Times New Roman"/>
        <family val="1"/>
      </rPr>
      <t>(PHFB_DECIDE_DIST)</t>
    </r>
    <phoneticPr fontId="5" type="noConversion"/>
  </si>
  <si>
    <t>資料處理：</t>
    <phoneticPr fontId="5" type="noConversion"/>
  </si>
  <si>
    <t>※本表僅含當季核定之送核、補報資料</t>
    <phoneticPr fontId="5" type="noConversion"/>
  </si>
  <si>
    <t>※本表不含申複、爭議審議等之核定醫療點數及費用</t>
    <phoneticPr fontId="5" type="noConversion"/>
  </si>
  <si>
    <t>※本表所謂浮動點值部分係指各總額別中一般部門預算之浮動點值部份</t>
    <phoneticPr fontId="5" type="noConversion"/>
  </si>
  <si>
    <t>※本表所謂固定點值部分係指各總額別中一般部門預算之非浮動點值及專款部份</t>
    <phoneticPr fontId="5" type="noConversion"/>
  </si>
  <si>
    <t>※層級別中不含處方釋出之醫療點數及費用</t>
    <phoneticPr fontId="5" type="noConversion"/>
  </si>
  <si>
    <t>層級別醫療服務核定醫療點數及費用統計-地區醫院</t>
    <phoneticPr fontId="5" type="noConversion"/>
  </si>
  <si>
    <t>層級別醫療服務核定醫療點數及費用統計-基層院所</t>
    <phoneticPr fontId="5" type="noConversion"/>
  </si>
  <si>
    <t>層級別醫療服務核定醫療點數及費用統計-交付機構</t>
    <phoneticPr fontId="5" type="noConversion"/>
  </si>
  <si>
    <t>製表說明文件</t>
    <phoneticPr fontId="5" type="noConversion"/>
  </si>
  <si>
    <t>全民健康保險醫療服務核定醫療點數及費用統計</t>
    <phoneticPr fontId="5" type="noConversion"/>
  </si>
  <si>
    <t>總額別醫療服務核定醫療點數及費用統計-牙醫門診總額</t>
    <phoneticPr fontId="5" type="noConversion"/>
  </si>
  <si>
    <t>總額別醫療服務核定醫療點數及費用統計-中醫門診總額</t>
    <phoneticPr fontId="5" type="noConversion"/>
  </si>
  <si>
    <t>總額別醫療服務核定醫療點數及費用統計-西醫基層總額</t>
    <phoneticPr fontId="5" type="noConversion"/>
  </si>
  <si>
    <t>總額別醫療服務核定醫療點數及費用統計-醫院總額</t>
    <phoneticPr fontId="5" type="noConversion"/>
  </si>
  <si>
    <t>總額別醫療服務核定醫療點數及費用統計-洗腎合併預算總額</t>
    <phoneticPr fontId="5" type="noConversion"/>
  </si>
  <si>
    <t>分局別醫療服務核定醫療點數及費用統計-台北分局</t>
    <phoneticPr fontId="5" type="noConversion"/>
  </si>
  <si>
    <t>分局別醫療服務核定醫療點數及費用統計-北區分局</t>
    <phoneticPr fontId="5" type="noConversion"/>
  </si>
  <si>
    <t>分局別醫療服務核定醫療點數及費用統計-中區分局</t>
    <phoneticPr fontId="5" type="noConversion"/>
  </si>
  <si>
    <t>分局別醫療服務核定醫療點數及費用統計-南區分局</t>
    <phoneticPr fontId="5" type="noConversion"/>
  </si>
  <si>
    <t>分局別醫療服務核定醫療點數及費用統計-高屏分局</t>
    <phoneticPr fontId="5" type="noConversion"/>
  </si>
  <si>
    <t>分局別醫療服務核定醫療點數及費用統計-東區分局</t>
    <phoneticPr fontId="5" type="noConversion"/>
  </si>
  <si>
    <t>層級別醫療服務核定醫療點數及費用統計-醫學中心</t>
    <phoneticPr fontId="5" type="noConversion"/>
  </si>
  <si>
    <t>層級別醫療服務核定醫療點數及費用統計-區域醫院</t>
    <phoneticPr fontId="5" type="noConversion"/>
  </si>
  <si>
    <t>全民健康保險醫療服務核定點數及費用統計說明</t>
    <phoneticPr fontId="5" type="noConversion"/>
  </si>
  <si>
    <t>配合申報醫療點數概念，統計以當季核定之送核、補報資料為統計基礎</t>
    <phoneticPr fontId="5" type="noConversion"/>
  </si>
  <si>
    <r>
      <t>※本表不含代辦、總額外及追扣、補付付款之項目</t>
    </r>
    <r>
      <rPr>
        <sz val="12"/>
        <rFont val="Times New Roman"/>
        <family val="1"/>
      </rPr>
      <t/>
    </r>
    <phoneticPr fontId="5" type="noConversion"/>
  </si>
  <si>
    <t>說明</t>
    <phoneticPr fontId="5" type="noConversion"/>
  </si>
  <si>
    <r>
      <t>表</t>
    </r>
    <r>
      <rPr>
        <sz val="12"/>
        <rFont val="Times New Roman"/>
        <family val="1"/>
      </rPr>
      <t>2</t>
    </r>
    <r>
      <rPr>
        <sz val="12"/>
        <rFont val="標楷體"/>
        <family val="4"/>
        <charset val="136"/>
      </rPr>
      <t>-1</t>
    </r>
    <phoneticPr fontId="5" type="noConversion"/>
  </si>
  <si>
    <r>
      <t>表</t>
    </r>
    <r>
      <rPr>
        <sz val="12"/>
        <rFont val="Times New Roman"/>
        <family val="1"/>
      </rPr>
      <t>2</t>
    </r>
    <r>
      <rPr>
        <sz val="12"/>
        <rFont val="標楷體"/>
        <family val="4"/>
        <charset val="136"/>
      </rPr>
      <t>-2</t>
    </r>
    <r>
      <rPr>
        <sz val="12"/>
        <rFont val="新細明體"/>
        <charset val="136"/>
      </rPr>
      <t/>
    </r>
  </si>
  <si>
    <r>
      <t>表</t>
    </r>
    <r>
      <rPr>
        <sz val="12"/>
        <rFont val="Times New Roman"/>
        <family val="1"/>
      </rPr>
      <t>2</t>
    </r>
    <r>
      <rPr>
        <sz val="12"/>
        <rFont val="標楷體"/>
        <family val="4"/>
        <charset val="136"/>
      </rPr>
      <t>-3</t>
    </r>
    <r>
      <rPr>
        <sz val="12"/>
        <rFont val="新細明體"/>
        <charset val="136"/>
      </rPr>
      <t/>
    </r>
  </si>
  <si>
    <r>
      <t>表</t>
    </r>
    <r>
      <rPr>
        <sz val="12"/>
        <rFont val="Times New Roman"/>
        <family val="1"/>
      </rPr>
      <t>2</t>
    </r>
    <r>
      <rPr>
        <sz val="12"/>
        <rFont val="標楷體"/>
        <family val="4"/>
        <charset val="136"/>
      </rPr>
      <t>-4</t>
    </r>
    <r>
      <rPr>
        <sz val="12"/>
        <rFont val="新細明體"/>
        <charset val="136"/>
      </rPr>
      <t/>
    </r>
  </si>
  <si>
    <r>
      <t>表</t>
    </r>
    <r>
      <rPr>
        <sz val="12"/>
        <rFont val="Times New Roman"/>
        <family val="1"/>
      </rPr>
      <t>2</t>
    </r>
    <r>
      <rPr>
        <sz val="12"/>
        <rFont val="標楷體"/>
        <family val="4"/>
        <charset val="136"/>
      </rPr>
      <t>-5</t>
    </r>
    <r>
      <rPr>
        <sz val="12"/>
        <rFont val="新細明體"/>
        <charset val="136"/>
      </rPr>
      <t/>
    </r>
  </si>
  <si>
    <r>
      <t>表</t>
    </r>
    <r>
      <rPr>
        <sz val="12"/>
        <rFont val="Times New Roman"/>
        <family val="1"/>
      </rPr>
      <t>3</t>
    </r>
    <r>
      <rPr>
        <sz val="12"/>
        <rFont val="標楷體"/>
        <family val="4"/>
        <charset val="136"/>
      </rPr>
      <t>-1</t>
    </r>
    <phoneticPr fontId="5" type="noConversion"/>
  </si>
  <si>
    <r>
      <t>表</t>
    </r>
    <r>
      <rPr>
        <sz val="12"/>
        <rFont val="Times New Roman"/>
        <family val="1"/>
      </rPr>
      <t>3</t>
    </r>
    <r>
      <rPr>
        <sz val="12"/>
        <rFont val="標楷體"/>
        <family val="4"/>
        <charset val="136"/>
      </rPr>
      <t>-2</t>
    </r>
    <r>
      <rPr>
        <sz val="12"/>
        <rFont val="新細明體"/>
        <charset val="136"/>
      </rPr>
      <t/>
    </r>
  </si>
  <si>
    <r>
      <t>表</t>
    </r>
    <r>
      <rPr>
        <sz val="12"/>
        <rFont val="Times New Roman"/>
        <family val="1"/>
      </rPr>
      <t>3</t>
    </r>
    <r>
      <rPr>
        <sz val="12"/>
        <rFont val="標楷體"/>
        <family val="4"/>
        <charset val="136"/>
      </rPr>
      <t>-3</t>
    </r>
    <r>
      <rPr>
        <sz val="12"/>
        <rFont val="新細明體"/>
        <charset val="136"/>
      </rPr>
      <t/>
    </r>
  </si>
  <si>
    <r>
      <t>表</t>
    </r>
    <r>
      <rPr>
        <sz val="12"/>
        <rFont val="Times New Roman"/>
        <family val="1"/>
      </rPr>
      <t>3</t>
    </r>
    <r>
      <rPr>
        <sz val="12"/>
        <rFont val="標楷體"/>
        <family val="4"/>
        <charset val="136"/>
      </rPr>
      <t>-4</t>
    </r>
    <r>
      <rPr>
        <sz val="12"/>
        <rFont val="新細明體"/>
        <charset val="136"/>
      </rPr>
      <t/>
    </r>
  </si>
  <si>
    <r>
      <t>表</t>
    </r>
    <r>
      <rPr>
        <sz val="12"/>
        <rFont val="Times New Roman"/>
        <family val="1"/>
      </rPr>
      <t>3</t>
    </r>
    <r>
      <rPr>
        <sz val="12"/>
        <rFont val="標楷體"/>
        <family val="4"/>
        <charset val="136"/>
      </rPr>
      <t>-5</t>
    </r>
    <r>
      <rPr>
        <sz val="12"/>
        <rFont val="新細明體"/>
        <charset val="136"/>
      </rPr>
      <t/>
    </r>
  </si>
  <si>
    <r>
      <t>表</t>
    </r>
    <r>
      <rPr>
        <sz val="12"/>
        <rFont val="Times New Roman"/>
        <family val="1"/>
      </rPr>
      <t>3</t>
    </r>
    <r>
      <rPr>
        <sz val="12"/>
        <rFont val="標楷體"/>
        <family val="4"/>
        <charset val="136"/>
      </rPr>
      <t>-6</t>
    </r>
    <r>
      <rPr>
        <sz val="12"/>
        <rFont val="新細明體"/>
        <charset val="136"/>
      </rPr>
      <t/>
    </r>
  </si>
  <si>
    <r>
      <t>表</t>
    </r>
    <r>
      <rPr>
        <sz val="12"/>
        <rFont val="Times New Roman"/>
        <family val="1"/>
      </rPr>
      <t>4</t>
    </r>
    <r>
      <rPr>
        <sz val="12"/>
        <rFont val="標楷體"/>
        <family val="4"/>
        <charset val="136"/>
      </rPr>
      <t>-1</t>
    </r>
    <phoneticPr fontId="5" type="noConversion"/>
  </si>
  <si>
    <r>
      <t>表</t>
    </r>
    <r>
      <rPr>
        <sz val="12"/>
        <rFont val="Times New Roman"/>
        <family val="1"/>
      </rPr>
      <t>4</t>
    </r>
    <r>
      <rPr>
        <sz val="12"/>
        <rFont val="標楷體"/>
        <family val="4"/>
        <charset val="136"/>
      </rPr>
      <t>-2</t>
    </r>
    <r>
      <rPr>
        <sz val="12"/>
        <rFont val="新細明體"/>
        <charset val="136"/>
      </rPr>
      <t/>
    </r>
  </si>
  <si>
    <r>
      <t>表</t>
    </r>
    <r>
      <rPr>
        <sz val="12"/>
        <rFont val="Times New Roman"/>
        <family val="1"/>
      </rPr>
      <t>4</t>
    </r>
    <r>
      <rPr>
        <sz val="12"/>
        <rFont val="標楷體"/>
        <family val="4"/>
        <charset val="136"/>
      </rPr>
      <t>-3</t>
    </r>
    <r>
      <rPr>
        <sz val="12"/>
        <rFont val="新細明體"/>
        <charset val="136"/>
      </rPr>
      <t/>
    </r>
  </si>
  <si>
    <r>
      <t>表</t>
    </r>
    <r>
      <rPr>
        <sz val="12"/>
        <rFont val="Times New Roman"/>
        <family val="1"/>
      </rPr>
      <t>4</t>
    </r>
    <r>
      <rPr>
        <sz val="12"/>
        <rFont val="標楷體"/>
        <family val="4"/>
        <charset val="136"/>
      </rPr>
      <t>-4</t>
    </r>
    <r>
      <rPr>
        <sz val="12"/>
        <rFont val="新細明體"/>
        <charset val="136"/>
      </rPr>
      <t/>
    </r>
  </si>
  <si>
    <r>
      <t>表</t>
    </r>
    <r>
      <rPr>
        <sz val="12"/>
        <rFont val="Times New Roman"/>
        <family val="1"/>
      </rPr>
      <t>4</t>
    </r>
    <r>
      <rPr>
        <sz val="12"/>
        <rFont val="標楷體"/>
        <family val="4"/>
        <charset val="136"/>
      </rPr>
      <t>-5</t>
    </r>
    <r>
      <rPr>
        <sz val="12"/>
        <rFont val="新細明體"/>
        <charset val="136"/>
      </rPr>
      <t/>
    </r>
  </si>
  <si>
    <r>
      <t>表</t>
    </r>
    <r>
      <rPr>
        <b/>
        <sz val="20"/>
        <color indexed="12"/>
        <rFont val="Times New Roman"/>
        <family val="1"/>
      </rPr>
      <t>1</t>
    </r>
    <r>
      <rPr>
        <b/>
        <sz val="20"/>
        <color indexed="12"/>
        <rFont val="標楷體"/>
        <family val="4"/>
        <charset val="136"/>
      </rPr>
      <t>：全民健康保險醫療服務核定醫療點數及費用統計_總表</t>
    </r>
    <phoneticPr fontId="5" type="noConversion"/>
  </si>
  <si>
    <r>
      <t>表</t>
    </r>
    <r>
      <rPr>
        <b/>
        <sz val="20"/>
        <color indexed="12"/>
        <rFont val="Times New Roman"/>
        <family val="1"/>
      </rPr>
      <t>2-1</t>
    </r>
    <r>
      <rPr>
        <b/>
        <sz val="20"/>
        <color indexed="12"/>
        <rFont val="標楷體"/>
        <family val="4"/>
        <charset val="136"/>
      </rPr>
      <t>：全民健康保險醫療服務核定醫療點數及費用統計_牙醫</t>
    </r>
    <phoneticPr fontId="5" type="noConversion"/>
  </si>
  <si>
    <r>
      <t>表</t>
    </r>
    <r>
      <rPr>
        <b/>
        <sz val="20"/>
        <color indexed="12"/>
        <rFont val="Times New Roman"/>
        <family val="1"/>
      </rPr>
      <t>2-2</t>
    </r>
    <r>
      <rPr>
        <b/>
        <sz val="20"/>
        <color indexed="12"/>
        <rFont val="標楷體"/>
        <family val="4"/>
        <charset val="136"/>
      </rPr>
      <t>：全民健康保險醫療服務核定醫療點數及費用統計_中醫</t>
    </r>
    <phoneticPr fontId="5" type="noConversion"/>
  </si>
  <si>
    <r>
      <t>表</t>
    </r>
    <r>
      <rPr>
        <b/>
        <sz val="20"/>
        <color indexed="12"/>
        <rFont val="Times New Roman"/>
        <family val="1"/>
      </rPr>
      <t>2-3</t>
    </r>
    <r>
      <rPr>
        <b/>
        <sz val="20"/>
        <color indexed="12"/>
        <rFont val="標楷體"/>
        <family val="4"/>
        <charset val="136"/>
      </rPr>
      <t>：全民健康保險醫療服務核定醫療點數及費用統計_西醫基層</t>
    </r>
    <phoneticPr fontId="5" type="noConversion"/>
  </si>
  <si>
    <r>
      <t>表</t>
    </r>
    <r>
      <rPr>
        <b/>
        <sz val="20"/>
        <color indexed="12"/>
        <rFont val="Times New Roman"/>
        <family val="1"/>
      </rPr>
      <t>2-4</t>
    </r>
    <r>
      <rPr>
        <b/>
        <sz val="20"/>
        <color indexed="12"/>
        <rFont val="標楷體"/>
        <family val="4"/>
        <charset val="136"/>
      </rPr>
      <t>：全民健康保險醫療服務核定醫療點數及費用統計_醫院</t>
    </r>
    <phoneticPr fontId="5" type="noConversion"/>
  </si>
  <si>
    <r>
      <t>表</t>
    </r>
    <r>
      <rPr>
        <b/>
        <sz val="20"/>
        <color indexed="12"/>
        <rFont val="Times New Roman"/>
        <family val="1"/>
      </rPr>
      <t>2-5</t>
    </r>
    <r>
      <rPr>
        <b/>
        <sz val="20"/>
        <color indexed="12"/>
        <rFont val="標楷體"/>
        <family val="4"/>
        <charset val="136"/>
      </rPr>
      <t>：全民健康保險醫療服務核定醫療點數及費用統計_洗腎合併預算</t>
    </r>
    <phoneticPr fontId="5" type="noConversion"/>
  </si>
  <si>
    <r>
      <t>表</t>
    </r>
    <r>
      <rPr>
        <b/>
        <sz val="20"/>
        <color indexed="12"/>
        <rFont val="Times New Roman"/>
        <family val="1"/>
      </rPr>
      <t>3-1</t>
    </r>
    <r>
      <rPr>
        <b/>
        <sz val="20"/>
        <color indexed="12"/>
        <rFont val="標楷體"/>
        <family val="4"/>
        <charset val="136"/>
      </rPr>
      <t>：全民健康保險醫療服務核定醫療點數及費用統計_台北分局</t>
    </r>
    <phoneticPr fontId="5" type="noConversion"/>
  </si>
  <si>
    <r>
      <t>表</t>
    </r>
    <r>
      <rPr>
        <b/>
        <sz val="20"/>
        <color indexed="12"/>
        <rFont val="Times New Roman"/>
        <family val="1"/>
      </rPr>
      <t>3-2</t>
    </r>
    <r>
      <rPr>
        <b/>
        <sz val="20"/>
        <color indexed="12"/>
        <rFont val="標楷體"/>
        <family val="4"/>
        <charset val="136"/>
      </rPr>
      <t>：全民健康保險醫療服務核定醫療點數及費用統計_北區分局</t>
    </r>
    <phoneticPr fontId="5" type="noConversion"/>
  </si>
  <si>
    <r>
      <t>表</t>
    </r>
    <r>
      <rPr>
        <b/>
        <sz val="20"/>
        <color indexed="12"/>
        <rFont val="Times New Roman"/>
        <family val="1"/>
      </rPr>
      <t>3-3</t>
    </r>
    <r>
      <rPr>
        <b/>
        <sz val="20"/>
        <color indexed="12"/>
        <rFont val="標楷體"/>
        <family val="4"/>
        <charset val="136"/>
      </rPr>
      <t>：全民健康保險醫療服務核定醫療點數及費用統計_中區分局</t>
    </r>
    <phoneticPr fontId="5" type="noConversion"/>
  </si>
  <si>
    <r>
      <t>表</t>
    </r>
    <r>
      <rPr>
        <b/>
        <sz val="20"/>
        <color indexed="12"/>
        <rFont val="Times New Roman"/>
        <family val="1"/>
      </rPr>
      <t>3-4</t>
    </r>
    <r>
      <rPr>
        <b/>
        <sz val="20"/>
        <color indexed="12"/>
        <rFont val="標楷體"/>
        <family val="4"/>
        <charset val="136"/>
      </rPr>
      <t>：全民健康保險醫療服務核定醫療點數及費用統計_南區分局</t>
    </r>
    <phoneticPr fontId="5" type="noConversion"/>
  </si>
  <si>
    <r>
      <t>表</t>
    </r>
    <r>
      <rPr>
        <b/>
        <sz val="20"/>
        <color indexed="12"/>
        <rFont val="Times New Roman"/>
        <family val="1"/>
      </rPr>
      <t>3-5</t>
    </r>
    <r>
      <rPr>
        <b/>
        <sz val="20"/>
        <color indexed="12"/>
        <rFont val="標楷體"/>
        <family val="4"/>
        <charset val="136"/>
      </rPr>
      <t>：全民健康保險醫療服務核定醫療點數及費用統計_高屏分局</t>
    </r>
    <phoneticPr fontId="5" type="noConversion"/>
  </si>
  <si>
    <r>
      <t>表</t>
    </r>
    <r>
      <rPr>
        <b/>
        <sz val="20"/>
        <color indexed="12"/>
        <rFont val="Times New Roman"/>
        <family val="1"/>
      </rPr>
      <t>3-6</t>
    </r>
    <r>
      <rPr>
        <b/>
        <sz val="20"/>
        <color indexed="12"/>
        <rFont val="標楷體"/>
        <family val="4"/>
        <charset val="136"/>
      </rPr>
      <t>：全民健康保險醫療服務核定醫療點數及費用統計_東區分局</t>
    </r>
    <phoneticPr fontId="5" type="noConversion"/>
  </si>
  <si>
    <r>
      <t>表</t>
    </r>
    <r>
      <rPr>
        <b/>
        <sz val="20"/>
        <color indexed="12"/>
        <rFont val="Times New Roman"/>
        <family val="1"/>
      </rPr>
      <t>4-1</t>
    </r>
    <r>
      <rPr>
        <b/>
        <sz val="20"/>
        <color indexed="12"/>
        <rFont val="標楷體"/>
        <family val="4"/>
        <charset val="136"/>
      </rPr>
      <t>：全民健康保險醫療服務核定醫療點數及費用統計_醫學中心</t>
    </r>
    <phoneticPr fontId="5" type="noConversion"/>
  </si>
  <si>
    <r>
      <t>表</t>
    </r>
    <r>
      <rPr>
        <b/>
        <sz val="20"/>
        <color indexed="12"/>
        <rFont val="Times New Roman"/>
        <family val="1"/>
      </rPr>
      <t>4-2</t>
    </r>
    <r>
      <rPr>
        <b/>
        <sz val="20"/>
        <color indexed="12"/>
        <rFont val="標楷體"/>
        <family val="4"/>
        <charset val="136"/>
      </rPr>
      <t>：全民健康保險醫療服務核定醫療點數及費用統計_區域醫院</t>
    </r>
    <phoneticPr fontId="5" type="noConversion"/>
  </si>
  <si>
    <r>
      <t>表</t>
    </r>
    <r>
      <rPr>
        <b/>
        <sz val="20"/>
        <color indexed="12"/>
        <rFont val="Times New Roman"/>
        <family val="1"/>
      </rPr>
      <t>4-3</t>
    </r>
    <r>
      <rPr>
        <b/>
        <sz val="20"/>
        <color indexed="12"/>
        <rFont val="標楷體"/>
        <family val="4"/>
        <charset val="136"/>
      </rPr>
      <t>：全民健康保險醫療服務核定醫療點數及費用統計_地區醫院</t>
    </r>
    <phoneticPr fontId="5" type="noConversion"/>
  </si>
  <si>
    <r>
      <t>表</t>
    </r>
    <r>
      <rPr>
        <b/>
        <sz val="20"/>
        <color indexed="16"/>
        <rFont val="Times New Roman"/>
        <family val="1"/>
      </rPr>
      <t>4-4</t>
    </r>
    <r>
      <rPr>
        <b/>
        <sz val="20"/>
        <color indexed="16"/>
        <rFont val="標楷體"/>
        <family val="4"/>
        <charset val="136"/>
      </rPr>
      <t>：全民健康保險醫療服務核定醫療點數及費用統計</t>
    </r>
    <r>
      <rPr>
        <b/>
        <sz val="20"/>
        <color indexed="16"/>
        <rFont val="Times New Roman"/>
        <family val="1"/>
      </rPr>
      <t>_</t>
    </r>
    <r>
      <rPr>
        <b/>
        <sz val="20"/>
        <color indexed="16"/>
        <rFont val="標楷體"/>
        <family val="4"/>
        <charset val="136"/>
      </rPr>
      <t>基層院所</t>
    </r>
    <phoneticPr fontId="5" type="noConversion"/>
  </si>
  <si>
    <r>
      <t>表</t>
    </r>
    <r>
      <rPr>
        <b/>
        <sz val="20"/>
        <color indexed="16"/>
        <rFont val="Times New Roman"/>
        <family val="1"/>
      </rPr>
      <t>4-5</t>
    </r>
    <r>
      <rPr>
        <b/>
        <sz val="20"/>
        <color indexed="16"/>
        <rFont val="標楷體"/>
        <family val="4"/>
        <charset val="136"/>
      </rPr>
      <t>：全民健康保險醫療服務核定醫療點數及費用統計</t>
    </r>
    <r>
      <rPr>
        <b/>
        <sz val="20"/>
        <color indexed="16"/>
        <rFont val="Times New Roman"/>
        <family val="1"/>
      </rPr>
      <t>_</t>
    </r>
    <r>
      <rPr>
        <b/>
        <sz val="20"/>
        <color indexed="16"/>
        <rFont val="標楷體"/>
        <family val="4"/>
        <charset val="136"/>
      </rPr>
      <t>交付機構</t>
    </r>
    <phoneticPr fontId="5" type="noConversion"/>
  </si>
  <si>
    <t>比率
(B/A)</t>
    <phoneticPr fontId="5" type="noConversion"/>
  </si>
  <si>
    <r>
      <t>全民健康保險醫療服務核定點數及費用統計</t>
    </r>
    <r>
      <rPr>
        <b/>
        <sz val="16"/>
        <rFont val="Times New Roman"/>
        <family val="1"/>
      </rPr>
      <t xml:space="preserve"> - </t>
    </r>
    <r>
      <rPr>
        <b/>
        <sz val="16"/>
        <rFont val="標楷體"/>
        <family val="4"/>
        <charset val="136"/>
      </rPr>
      <t>報表清單</t>
    </r>
    <phoneticPr fontId="5" type="noConversion"/>
  </si>
  <si>
    <t>核定醫療
點數(億)</t>
    <phoneticPr fontId="5" type="noConversion"/>
  </si>
  <si>
    <r>
      <t xml:space="preserve">核定費用
</t>
    </r>
    <r>
      <rPr>
        <sz val="12"/>
        <rFont val="Times New Roman"/>
        <family val="1"/>
      </rPr>
      <t>(</t>
    </r>
    <r>
      <rPr>
        <sz val="12"/>
        <rFont val="標楷體"/>
        <family val="4"/>
        <charset val="136"/>
      </rPr>
      <t>億</t>
    </r>
    <r>
      <rPr>
        <sz val="12"/>
        <rFont val="Times New Roman"/>
        <family val="1"/>
      </rPr>
      <t>)</t>
    </r>
    <phoneticPr fontId="5" type="noConversion"/>
  </si>
  <si>
    <t>核定醫療點
數(億)-A</t>
    <phoneticPr fontId="5" type="noConversion"/>
  </si>
  <si>
    <r>
      <t xml:space="preserve">核定費用
</t>
    </r>
    <r>
      <rPr>
        <sz val="12"/>
        <rFont val="Times New Roman"/>
        <family val="1"/>
      </rPr>
      <t>(</t>
    </r>
    <r>
      <rPr>
        <sz val="12"/>
        <rFont val="標楷體"/>
        <family val="4"/>
        <charset val="136"/>
      </rPr>
      <t>億</t>
    </r>
    <r>
      <rPr>
        <sz val="12"/>
        <rFont val="Times New Roman"/>
        <family val="1"/>
      </rPr>
      <t>)-B</t>
    </r>
    <phoneticPr fontId="5" type="noConversion"/>
  </si>
  <si>
    <t>BRANCH_CODE</t>
  </si>
</sst>
</file>

<file path=xl/styles.xml><?xml version="1.0" encoding="utf-8"?>
<styleSheet xmlns="http://schemas.openxmlformats.org/spreadsheetml/2006/main">
  <numFmts count="6">
    <numFmt numFmtId="179" formatCode="#,##0,,"/>
    <numFmt numFmtId="180" formatCode="#,##0.0,,"/>
    <numFmt numFmtId="183" formatCode="0.0_);[Red]\(0.0\)"/>
    <numFmt numFmtId="184" formatCode="0_ "/>
    <numFmt numFmtId="185" formatCode="0_);[Red]\(0\)"/>
    <numFmt numFmtId="200" formatCode="0.0000000"/>
  </numFmts>
  <fonts count="28">
    <font>
      <sz val="12"/>
      <name val="新細明體"/>
      <charset val="136"/>
    </font>
    <font>
      <sz val="12"/>
      <name val="新細明體"/>
      <charset val="136"/>
    </font>
    <font>
      <sz val="12"/>
      <name val="新細明體"/>
      <charset val="136"/>
    </font>
    <font>
      <sz val="12"/>
      <color indexed="18"/>
      <name val="Arial"/>
      <family val="2"/>
    </font>
    <font>
      <b/>
      <sz val="12"/>
      <color indexed="18"/>
      <name val="Arial"/>
      <family val="2"/>
    </font>
    <font>
      <sz val="9"/>
      <name val="新細明體"/>
      <family val="1"/>
      <charset val="136"/>
    </font>
    <font>
      <sz val="12"/>
      <name val="標楷體"/>
      <family val="4"/>
      <charset val="136"/>
    </font>
    <font>
      <sz val="10"/>
      <name val="標楷體"/>
      <family val="4"/>
      <charset val="136"/>
    </font>
    <font>
      <u/>
      <sz val="12"/>
      <color indexed="30"/>
      <name val="新細明體"/>
      <family val="1"/>
      <charset val="136"/>
    </font>
    <font>
      <sz val="18"/>
      <name val="標楷體"/>
      <family val="4"/>
      <charset val="136"/>
    </font>
    <font>
      <sz val="18"/>
      <name val="Times New Roman"/>
      <family val="1"/>
    </font>
    <font>
      <sz val="12"/>
      <name val="Times New Roman"/>
      <family val="1"/>
    </font>
    <font>
      <b/>
      <sz val="18"/>
      <name val="標楷體"/>
      <family val="4"/>
      <charset val="136"/>
    </font>
    <font>
      <b/>
      <sz val="14"/>
      <name val="標楷體"/>
      <family val="4"/>
      <charset val="136"/>
    </font>
    <font>
      <b/>
      <sz val="12"/>
      <name val="標楷體"/>
      <family val="4"/>
      <charset val="136"/>
    </font>
    <font>
      <sz val="12"/>
      <color indexed="12"/>
      <name val="標楷體"/>
      <family val="4"/>
      <charset val="136"/>
    </font>
    <font>
      <b/>
      <sz val="16"/>
      <name val="標楷體"/>
      <family val="4"/>
      <charset val="136"/>
    </font>
    <font>
      <sz val="18"/>
      <color indexed="12"/>
      <name val="標楷體"/>
      <family val="4"/>
      <charset val="136"/>
    </font>
    <font>
      <b/>
      <sz val="20"/>
      <color indexed="12"/>
      <name val="標楷體"/>
      <family val="4"/>
      <charset val="136"/>
    </font>
    <font>
      <b/>
      <sz val="20"/>
      <color indexed="12"/>
      <name val="Times New Roman"/>
      <family val="1"/>
    </font>
    <font>
      <b/>
      <sz val="20"/>
      <color indexed="16"/>
      <name val="標楷體"/>
      <family val="4"/>
      <charset val="136"/>
    </font>
    <font>
      <b/>
      <sz val="20"/>
      <color indexed="16"/>
      <name val="Times New Roman"/>
      <family val="1"/>
    </font>
    <font>
      <b/>
      <sz val="16"/>
      <name val="Times New Roman"/>
      <family val="1"/>
    </font>
    <font>
      <b/>
      <sz val="13.5"/>
      <color indexed="56"/>
      <name val="Arial"/>
      <family val="2"/>
    </font>
    <font>
      <sz val="12"/>
      <color indexed="8"/>
      <name val="Arial"/>
      <family val="2"/>
    </font>
    <font>
      <b/>
      <sz val="13.5"/>
      <color indexed="56"/>
      <name val="新細明體"/>
      <family val="1"/>
      <charset val="136"/>
    </font>
    <font>
      <b/>
      <sz val="12"/>
      <color indexed="18"/>
      <name val="細明體"/>
      <family val="3"/>
      <charset val="136"/>
    </font>
    <font>
      <sz val="12"/>
      <color indexed="10"/>
      <name val="Times New Roman"/>
      <family val="1"/>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19">
    <border>
      <left/>
      <right/>
      <top/>
      <bottom/>
      <diagonal/>
    </border>
    <border>
      <left style="medium">
        <color indexed="8"/>
      </left>
      <right style="thin">
        <color indexed="8"/>
      </right>
      <top style="medium">
        <color indexed="8"/>
      </top>
      <bottom style="thin">
        <color indexed="8"/>
      </bottom>
      <diagonal/>
    </border>
    <border>
      <left/>
      <right/>
      <top/>
      <bottom style="thin">
        <color indexed="64"/>
      </bottom>
      <diagonal/>
    </border>
    <border>
      <left/>
      <right/>
      <top style="thin">
        <color indexed="64"/>
      </top>
      <bottom style="thin">
        <color indexed="64"/>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thin">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s>
  <cellStyleXfs count="3">
    <xf numFmtId="0" fontId="0" fillId="0" borderId="0"/>
    <xf numFmtId="9" fontId="2" fillId="0" borderId="0" applyFont="0" applyFill="0" applyBorder="0" applyAlignment="0" applyProtection="0"/>
    <xf numFmtId="0" fontId="8" fillId="0" borderId="0" applyNumberFormat="0" applyFill="0" applyBorder="0" applyAlignment="0" applyProtection="0">
      <alignment vertical="top"/>
      <protection locked="0"/>
    </xf>
  </cellStyleXfs>
  <cellXfs count="96">
    <xf numFmtId="0" fontId="0" fillId="0" borderId="0" xfId="0"/>
    <xf numFmtId="0" fontId="4" fillId="2" borderId="1" xfId="0" applyFont="1" applyFill="1" applyBorder="1" applyAlignment="1">
      <alignment horizontal="center" vertical="top" wrapText="1"/>
    </xf>
    <xf numFmtId="0" fontId="6" fillId="0" borderId="0" xfId="0" applyFont="1"/>
    <xf numFmtId="0" fontId="6" fillId="0" borderId="0" xfId="0" applyFont="1" applyAlignment="1">
      <alignment horizontal="center"/>
    </xf>
    <xf numFmtId="0" fontId="6" fillId="0" borderId="2" xfId="0" applyFont="1" applyBorder="1" applyAlignment="1">
      <alignment horizontal="center"/>
    </xf>
    <xf numFmtId="0" fontId="7" fillId="0" borderId="3" xfId="0" applyFont="1" applyBorder="1" applyAlignment="1">
      <alignment horizontal="center" wrapText="1"/>
    </xf>
    <xf numFmtId="0" fontId="6" fillId="0" borderId="3" xfId="0" applyFont="1" applyBorder="1" applyAlignment="1">
      <alignment horizontal="center"/>
    </xf>
    <xf numFmtId="180" fontId="6" fillId="0" borderId="0" xfId="0" applyNumberFormat="1" applyFont="1" applyAlignment="1">
      <alignment horizontal="center"/>
    </xf>
    <xf numFmtId="10" fontId="6" fillId="0" borderId="0" xfId="1" applyNumberFormat="1" applyFont="1" applyAlignment="1">
      <alignment horizontal="center"/>
    </xf>
    <xf numFmtId="0" fontId="6" fillId="0" borderId="0" xfId="0" applyFont="1" applyBorder="1" applyAlignment="1">
      <alignment horizontal="center"/>
    </xf>
    <xf numFmtId="0" fontId="7" fillId="0" borderId="0" xfId="0" applyFont="1" applyBorder="1" applyAlignment="1">
      <alignment horizontal="center" wrapText="1"/>
    </xf>
    <xf numFmtId="0" fontId="6" fillId="0" borderId="2" xfId="0" applyFont="1" applyBorder="1"/>
    <xf numFmtId="180" fontId="6" fillId="0" borderId="2" xfId="0" applyNumberFormat="1" applyFont="1" applyBorder="1" applyAlignment="1">
      <alignment horizontal="center"/>
    </xf>
    <xf numFmtId="10" fontId="6" fillId="0" borderId="2" xfId="1" applyNumberFormat="1" applyFont="1" applyBorder="1" applyAlignment="1">
      <alignment horizontal="center"/>
    </xf>
    <xf numFmtId="0" fontId="3" fillId="2" borderId="0" xfId="0" applyFont="1" applyFill="1"/>
    <xf numFmtId="0" fontId="6" fillId="0" borderId="0" xfId="0" applyFont="1" applyBorder="1"/>
    <xf numFmtId="10" fontId="6" fillId="0" borderId="0" xfId="1" applyNumberFormat="1" applyFont="1" applyBorder="1" applyAlignment="1">
      <alignment horizontal="center"/>
    </xf>
    <xf numFmtId="0" fontId="6" fillId="0" borderId="0" xfId="0" applyFont="1" applyAlignment="1">
      <alignment vertical="top"/>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3" fillId="2" borderId="7" xfId="0" applyFont="1" applyFill="1" applyBorder="1" applyAlignment="1">
      <alignment vertical="top" wrapText="1"/>
    </xf>
    <xf numFmtId="0" fontId="3" fillId="2" borderId="8" xfId="0" applyFont="1" applyFill="1" applyBorder="1" applyAlignment="1">
      <alignment vertical="top" wrapText="1"/>
    </xf>
    <xf numFmtId="0" fontId="3" fillId="2" borderId="9" xfId="0" applyFont="1" applyFill="1" applyBorder="1" applyAlignment="1">
      <alignment vertical="top" wrapText="1"/>
    </xf>
    <xf numFmtId="0" fontId="6" fillId="0" borderId="0" xfId="0" applyFont="1" applyBorder="1" applyAlignment="1">
      <alignment horizontal="left"/>
    </xf>
    <xf numFmtId="185" fontId="6" fillId="0" borderId="0" xfId="0" applyNumberFormat="1" applyFont="1" applyBorder="1" applyAlignment="1">
      <alignment horizontal="left"/>
    </xf>
    <xf numFmtId="185" fontId="11" fillId="0" borderId="0" xfId="0" applyNumberFormat="1" applyFont="1" applyBorder="1" applyAlignment="1">
      <alignment horizontal="left"/>
    </xf>
    <xf numFmtId="180" fontId="6" fillId="0" borderId="0" xfId="0" applyNumberFormat="1" applyFont="1" applyBorder="1" applyAlignment="1">
      <alignment horizontal="center"/>
    </xf>
    <xf numFmtId="0" fontId="6" fillId="0" borderId="0" xfId="0" applyFont="1" applyFill="1" applyBorder="1"/>
    <xf numFmtId="0" fontId="12" fillId="0" borderId="0" xfId="0" applyFont="1"/>
    <xf numFmtId="49" fontId="6" fillId="0" borderId="0" xfId="0" applyNumberFormat="1" applyFont="1"/>
    <xf numFmtId="0" fontId="13" fillId="0" borderId="0" xfId="0" applyFont="1"/>
    <xf numFmtId="49" fontId="13" fillId="0" borderId="0" xfId="0" applyNumberFormat="1" applyFont="1"/>
    <xf numFmtId="49" fontId="11" fillId="0" borderId="0" xfId="0" applyNumberFormat="1" applyFont="1"/>
    <xf numFmtId="49" fontId="6" fillId="0" borderId="0" xfId="0" applyNumberFormat="1" applyFont="1" applyBorder="1" applyAlignment="1">
      <alignment horizontal="left"/>
    </xf>
    <xf numFmtId="0" fontId="6" fillId="0" borderId="3" xfId="0" applyFont="1" applyBorder="1" applyAlignment="1">
      <alignment horizontal="center" wrapText="1"/>
    </xf>
    <xf numFmtId="179" fontId="6" fillId="0" borderId="0" xfId="0" applyNumberFormat="1" applyFont="1" applyAlignment="1">
      <alignment horizontal="center"/>
    </xf>
    <xf numFmtId="0" fontId="15" fillId="0" borderId="0" xfId="0" applyFont="1" applyBorder="1" applyAlignment="1">
      <alignment wrapText="1"/>
    </xf>
    <xf numFmtId="0" fontId="15" fillId="0" borderId="0" xfId="0" applyFont="1" applyBorder="1"/>
    <xf numFmtId="0" fontId="15" fillId="0" borderId="0" xfId="0" applyFont="1"/>
    <xf numFmtId="0" fontId="15" fillId="0" borderId="0" xfId="0" applyFont="1" applyBorder="1" applyAlignment="1">
      <alignment horizontal="center"/>
    </xf>
    <xf numFmtId="0" fontId="15" fillId="0" borderId="0" xfId="2" applyFont="1" applyBorder="1" applyAlignment="1" applyProtection="1">
      <alignment horizontal="left"/>
    </xf>
    <xf numFmtId="0" fontId="15" fillId="0" borderId="0" xfId="2" applyFont="1" applyBorder="1" applyAlignment="1" applyProtection="1"/>
    <xf numFmtId="0" fontId="15" fillId="0" borderId="0" xfId="2" applyFont="1" applyAlignment="1" applyProtection="1"/>
    <xf numFmtId="0" fontId="14" fillId="0" borderId="0" xfId="0" applyFont="1" applyBorder="1"/>
    <xf numFmtId="0" fontId="14" fillId="0" borderId="0" xfId="0" applyFont="1" applyFill="1" applyBorder="1"/>
    <xf numFmtId="0" fontId="14" fillId="0" borderId="0" xfId="0" applyFont="1"/>
    <xf numFmtId="0" fontId="23" fillId="3" borderId="10" xfId="0" applyFont="1" applyFill="1" applyBorder="1" applyAlignment="1">
      <alignment horizontal="left" wrapText="1"/>
    </xf>
    <xf numFmtId="0" fontId="23" fillId="3" borderId="10" xfId="0" applyFont="1" applyFill="1" applyBorder="1" applyAlignment="1">
      <alignment horizontal="right" wrapText="1"/>
    </xf>
    <xf numFmtId="0" fontId="24" fillId="3" borderId="10" xfId="0" applyFont="1" applyFill="1" applyBorder="1" applyAlignment="1">
      <alignment horizontal="left" wrapText="1"/>
    </xf>
    <xf numFmtId="0" fontId="24" fillId="3" borderId="10" xfId="0" applyFont="1" applyFill="1" applyBorder="1" applyAlignment="1">
      <alignment horizontal="right" wrapText="1"/>
    </xf>
    <xf numFmtId="0" fontId="25" fillId="3" borderId="10" xfId="0" applyFont="1" applyFill="1" applyBorder="1" applyAlignment="1">
      <alignment horizontal="left" wrapText="1"/>
    </xf>
    <xf numFmtId="0" fontId="24" fillId="0" borderId="10" xfId="0" applyFont="1" applyFill="1" applyBorder="1" applyAlignment="1">
      <alignment horizontal="right" wrapText="1"/>
    </xf>
    <xf numFmtId="0" fontId="24" fillId="0" borderId="10" xfId="0" applyFont="1" applyFill="1" applyBorder="1" applyAlignment="1">
      <alignment horizontal="left" wrapText="1"/>
    </xf>
    <xf numFmtId="184" fontId="24" fillId="0" borderId="10" xfId="0" applyNumberFormat="1" applyFont="1" applyFill="1" applyBorder="1" applyAlignment="1">
      <alignment horizontal="right"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3" fillId="2" borderId="11" xfId="0" applyFont="1" applyFill="1" applyBorder="1" applyAlignment="1">
      <alignment vertical="top" wrapText="1"/>
    </xf>
    <xf numFmtId="0" fontId="3" fillId="2" borderId="10" xfId="0" applyFont="1" applyFill="1" applyBorder="1" applyAlignment="1">
      <alignment vertical="top" wrapText="1"/>
    </xf>
    <xf numFmtId="0" fontId="3" fillId="2" borderId="12" xfId="0" applyFont="1" applyFill="1" applyBorder="1" applyAlignment="1">
      <alignment vertical="top" wrapText="1"/>
    </xf>
    <xf numFmtId="0" fontId="3" fillId="2" borderId="13" xfId="0" applyFont="1" applyFill="1" applyBorder="1" applyAlignment="1">
      <alignment vertical="top" wrapText="1"/>
    </xf>
    <xf numFmtId="0" fontId="3" fillId="2" borderId="14" xfId="0" applyFont="1" applyFill="1" applyBorder="1" applyAlignment="1">
      <alignment vertical="top" wrapText="1"/>
    </xf>
    <xf numFmtId="0" fontId="3" fillId="2" borderId="15" xfId="0" applyFont="1" applyFill="1" applyBorder="1" applyAlignment="1">
      <alignment vertical="top" wrapText="1"/>
    </xf>
    <xf numFmtId="180" fontId="6" fillId="0" borderId="16" xfId="0" applyNumberFormat="1" applyFont="1" applyBorder="1" applyAlignment="1">
      <alignment horizontal="center"/>
    </xf>
    <xf numFmtId="10" fontId="6" fillId="0" borderId="16" xfId="1" applyNumberFormat="1" applyFont="1" applyBorder="1" applyAlignment="1">
      <alignment horizontal="center"/>
    </xf>
    <xf numFmtId="183" fontId="6" fillId="0" borderId="0" xfId="0" applyNumberFormat="1" applyFont="1" applyAlignment="1">
      <alignment horizontal="center"/>
    </xf>
    <xf numFmtId="183" fontId="6" fillId="0" borderId="2" xfId="0" applyNumberFormat="1" applyFont="1" applyBorder="1" applyAlignment="1">
      <alignment horizontal="center"/>
    </xf>
    <xf numFmtId="200" fontId="24" fillId="3" borderId="10" xfId="0" applyNumberFormat="1" applyFont="1" applyFill="1" applyBorder="1" applyAlignment="1">
      <alignment horizontal="right" wrapText="1"/>
    </xf>
    <xf numFmtId="183" fontId="6" fillId="0" borderId="0" xfId="0" applyNumberFormat="1" applyFont="1" applyBorder="1" applyAlignment="1">
      <alignment horizontal="center"/>
    </xf>
    <xf numFmtId="0" fontId="3" fillId="4" borderId="11" xfId="0" applyFont="1" applyFill="1" applyBorder="1" applyAlignment="1">
      <alignment vertical="top" wrapText="1"/>
    </xf>
    <xf numFmtId="0" fontId="3" fillId="4" borderId="10" xfId="0" applyFont="1" applyFill="1" applyBorder="1" applyAlignment="1">
      <alignment vertical="top" wrapText="1"/>
    </xf>
    <xf numFmtId="0" fontId="3" fillId="4" borderId="12" xfId="0" applyFont="1" applyFill="1" applyBorder="1" applyAlignment="1">
      <alignment vertical="top" wrapText="1"/>
    </xf>
    <xf numFmtId="0" fontId="3" fillId="4" borderId="13" xfId="0" applyFont="1" applyFill="1" applyBorder="1" applyAlignment="1">
      <alignment vertical="top" wrapText="1"/>
    </xf>
    <xf numFmtId="0" fontId="3" fillId="4" borderId="14" xfId="0" applyFont="1" applyFill="1" applyBorder="1" applyAlignment="1">
      <alignment vertical="top" wrapText="1"/>
    </xf>
    <xf numFmtId="0" fontId="3" fillId="4" borderId="15" xfId="0" applyFont="1" applyFill="1" applyBorder="1" applyAlignment="1">
      <alignment vertical="top" wrapText="1"/>
    </xf>
    <xf numFmtId="183" fontId="11" fillId="0" borderId="0" xfId="0" applyNumberFormat="1" applyFont="1" applyBorder="1" applyAlignment="1">
      <alignment horizontal="center"/>
    </xf>
    <xf numFmtId="0" fontId="3" fillId="0" borderId="11" xfId="0" applyFont="1" applyFill="1" applyBorder="1" applyAlignment="1">
      <alignment vertical="top" wrapText="1"/>
    </xf>
    <xf numFmtId="0" fontId="3" fillId="0" borderId="10" xfId="0" applyFont="1" applyFill="1" applyBorder="1" applyAlignment="1">
      <alignment vertical="top" wrapText="1"/>
    </xf>
    <xf numFmtId="0" fontId="3" fillId="0" borderId="12" xfId="0" applyFont="1" applyFill="1" applyBorder="1" applyAlignment="1">
      <alignment vertical="top" wrapText="1"/>
    </xf>
    <xf numFmtId="0" fontId="4" fillId="2" borderId="17" xfId="0" applyFont="1" applyFill="1" applyBorder="1" applyAlignment="1">
      <alignment horizontal="center" vertical="top" wrapText="1"/>
    </xf>
    <xf numFmtId="0" fontId="4" fillId="2" borderId="18" xfId="0" applyFont="1" applyFill="1" applyBorder="1" applyAlignment="1">
      <alignment horizontal="center" vertical="top" wrapText="1"/>
    </xf>
    <xf numFmtId="0" fontId="26" fillId="2" borderId="1" xfId="0" applyFont="1" applyFill="1" applyBorder="1" applyAlignment="1">
      <alignment horizontal="center" vertical="top" wrapText="1"/>
    </xf>
    <xf numFmtId="0" fontId="27" fillId="0" borderId="0" xfId="0" applyFont="1" applyAlignment="1">
      <alignment vertical="top"/>
    </xf>
    <xf numFmtId="0" fontId="27" fillId="0" borderId="0" xfId="0" applyFont="1"/>
    <xf numFmtId="0" fontId="27" fillId="0" borderId="0" xfId="0" applyFont="1" applyAlignment="1">
      <alignment horizontal="center"/>
    </xf>
    <xf numFmtId="0" fontId="16" fillId="0" borderId="0" xfId="0" applyFont="1" applyAlignment="1">
      <alignment horizontal="center"/>
    </xf>
    <xf numFmtId="0" fontId="14" fillId="0" borderId="0" xfId="0" applyFont="1" applyBorder="1" applyAlignment="1">
      <alignment horizontal="left" wrapText="1"/>
    </xf>
    <xf numFmtId="0" fontId="17" fillId="0" borderId="0" xfId="2" applyFont="1" applyAlignment="1" applyProtection="1">
      <alignment horizontal="center"/>
    </xf>
    <xf numFmtId="0" fontId="6" fillId="0" borderId="0" xfId="0" applyFont="1" applyAlignment="1">
      <alignment horizontal="left"/>
    </xf>
    <xf numFmtId="0" fontId="18" fillId="0" borderId="0" xfId="2" applyFont="1" applyAlignment="1" applyProtection="1">
      <alignment horizontal="center" vertical="top"/>
    </xf>
    <xf numFmtId="0" fontId="6" fillId="0" borderId="2" xfId="0" applyFont="1" applyBorder="1" applyAlignment="1">
      <alignment horizontal="center"/>
    </xf>
    <xf numFmtId="0" fontId="6" fillId="0" borderId="16" xfId="0" applyFont="1" applyBorder="1" applyAlignment="1">
      <alignment horizontal="left"/>
    </xf>
    <xf numFmtId="0" fontId="6" fillId="0" borderId="0" xfId="0" applyFont="1" applyBorder="1" applyAlignment="1">
      <alignment horizontal="left"/>
    </xf>
    <xf numFmtId="0" fontId="6" fillId="0" borderId="0" xfId="0" applyFont="1" applyAlignment="1">
      <alignment horizontal="center"/>
    </xf>
    <xf numFmtId="0" fontId="9" fillId="0" borderId="0" xfId="0" applyFont="1" applyAlignment="1">
      <alignment horizontal="center" vertical="top"/>
    </xf>
    <xf numFmtId="0" fontId="20" fillId="0" borderId="0" xfId="2" applyFont="1" applyAlignment="1" applyProtection="1">
      <alignment horizontal="center" vertical="top"/>
    </xf>
  </cellXfs>
  <cellStyles count="3">
    <cellStyle name="一般" xfId="0" builtinId="0"/>
    <cellStyle name="百分比" xfId="1" builtinId="5"/>
    <cellStyle name="超連結" xfId="2"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4">
    <pageSetUpPr fitToPage="1"/>
  </sheetPr>
  <dimension ref="A1:D25"/>
  <sheetViews>
    <sheetView showGridLines="0" tabSelected="1" workbookViewId="0">
      <pane ySplit="3" topLeftCell="A4" activePane="bottomLeft" state="frozen"/>
      <selection sqref="A1:Q1"/>
      <selection pane="bottomLeft" activeCell="D6" sqref="D6"/>
    </sheetView>
  </sheetViews>
  <sheetFormatPr defaultColWidth="8.875" defaultRowHeight="16.5"/>
  <cols>
    <col min="1" max="1" width="3.625" style="2" customWidth="1"/>
    <col min="2" max="2" width="6.5" style="2" customWidth="1"/>
    <col min="3" max="3" width="2.5" style="2" customWidth="1"/>
    <col min="4" max="4" width="73.625" style="2" customWidth="1"/>
    <col min="5" max="5" width="15.25" style="2" customWidth="1"/>
    <col min="6" max="6" width="13.5" style="2" customWidth="1"/>
    <col min="7" max="7" width="14.25" style="2" customWidth="1"/>
    <col min="8" max="8" width="15.625" style="2" customWidth="1"/>
    <col min="9" max="9" width="16" style="2" customWidth="1"/>
    <col min="10" max="16384" width="8.875" style="2"/>
  </cols>
  <sheetData>
    <row r="1" spans="1:4" ht="21">
      <c r="A1" s="85" t="s">
        <v>217</v>
      </c>
      <c r="B1" s="85"/>
      <c r="C1" s="85"/>
      <c r="D1" s="85"/>
    </row>
    <row r="3" spans="1:4" ht="33">
      <c r="A3" s="37" t="s">
        <v>124</v>
      </c>
      <c r="B3" s="38" t="s">
        <v>125</v>
      </c>
      <c r="C3" s="39"/>
      <c r="D3" s="40" t="s">
        <v>126</v>
      </c>
    </row>
    <row r="4" spans="1:4">
      <c r="A4" s="86" t="s">
        <v>182</v>
      </c>
      <c r="B4" s="86"/>
      <c r="C4" s="39"/>
      <c r="D4" s="41" t="s">
        <v>164</v>
      </c>
    </row>
    <row r="5" spans="1:4">
      <c r="A5" s="44" t="s">
        <v>127</v>
      </c>
      <c r="B5" s="15"/>
      <c r="C5" s="15"/>
      <c r="D5" s="15"/>
    </row>
    <row r="6" spans="1:4">
      <c r="A6" s="15"/>
      <c r="B6" s="15" t="s">
        <v>128</v>
      </c>
      <c r="C6" s="15"/>
      <c r="D6" s="42" t="s">
        <v>165</v>
      </c>
    </row>
    <row r="7" spans="1:4">
      <c r="A7" s="45" t="s">
        <v>129</v>
      </c>
      <c r="B7" s="15"/>
      <c r="C7" s="15"/>
      <c r="D7" s="15"/>
    </row>
    <row r="8" spans="1:4">
      <c r="A8" s="15"/>
      <c r="B8" s="15" t="s">
        <v>183</v>
      </c>
      <c r="C8" s="15"/>
      <c r="D8" s="42" t="s">
        <v>166</v>
      </c>
    </row>
    <row r="9" spans="1:4">
      <c r="A9" s="15"/>
      <c r="B9" s="15" t="s">
        <v>184</v>
      </c>
      <c r="C9" s="15"/>
      <c r="D9" s="42" t="s">
        <v>167</v>
      </c>
    </row>
    <row r="10" spans="1:4">
      <c r="A10" s="15"/>
      <c r="B10" s="15" t="s">
        <v>185</v>
      </c>
      <c r="C10" s="15"/>
      <c r="D10" s="42" t="s">
        <v>168</v>
      </c>
    </row>
    <row r="11" spans="1:4">
      <c r="A11" s="15"/>
      <c r="B11" s="15" t="s">
        <v>186</v>
      </c>
      <c r="C11" s="15"/>
      <c r="D11" s="42" t="s">
        <v>169</v>
      </c>
    </row>
    <row r="12" spans="1:4">
      <c r="A12" s="15"/>
      <c r="B12" s="15" t="s">
        <v>187</v>
      </c>
      <c r="C12" s="15"/>
      <c r="D12" s="42" t="s">
        <v>170</v>
      </c>
    </row>
    <row r="13" spans="1:4">
      <c r="A13" s="44" t="s">
        <v>130</v>
      </c>
      <c r="B13" s="15"/>
      <c r="C13" s="15"/>
      <c r="D13" s="15"/>
    </row>
    <row r="14" spans="1:4">
      <c r="B14" s="28" t="s">
        <v>188</v>
      </c>
      <c r="D14" s="43" t="s">
        <v>171</v>
      </c>
    </row>
    <row r="15" spans="1:4">
      <c r="B15" s="28" t="s">
        <v>189</v>
      </c>
      <c r="D15" s="43" t="s">
        <v>172</v>
      </c>
    </row>
    <row r="16" spans="1:4">
      <c r="B16" s="28" t="s">
        <v>190</v>
      </c>
      <c r="D16" s="43" t="s">
        <v>173</v>
      </c>
    </row>
    <row r="17" spans="1:4">
      <c r="B17" s="28" t="s">
        <v>191</v>
      </c>
      <c r="D17" s="43" t="s">
        <v>174</v>
      </c>
    </row>
    <row r="18" spans="1:4">
      <c r="B18" s="28" t="s">
        <v>192</v>
      </c>
      <c r="D18" s="43" t="s">
        <v>175</v>
      </c>
    </row>
    <row r="19" spans="1:4">
      <c r="B19" s="28" t="s">
        <v>193</v>
      </c>
      <c r="D19" s="43" t="s">
        <v>176</v>
      </c>
    </row>
    <row r="20" spans="1:4">
      <c r="A20" s="46" t="s">
        <v>131</v>
      </c>
    </row>
    <row r="21" spans="1:4">
      <c r="B21" s="2" t="s">
        <v>194</v>
      </c>
      <c r="D21" s="43" t="s">
        <v>177</v>
      </c>
    </row>
    <row r="22" spans="1:4">
      <c r="B22" s="2" t="s">
        <v>195</v>
      </c>
      <c r="D22" s="43" t="s">
        <v>178</v>
      </c>
    </row>
    <row r="23" spans="1:4">
      <c r="B23" s="2" t="s">
        <v>196</v>
      </c>
      <c r="D23" s="43" t="s">
        <v>161</v>
      </c>
    </row>
    <row r="24" spans="1:4">
      <c r="B24" s="2" t="s">
        <v>197</v>
      </c>
      <c r="D24" s="43" t="s">
        <v>162</v>
      </c>
    </row>
    <row r="25" spans="1:4">
      <c r="B25" s="2" t="s">
        <v>198</v>
      </c>
      <c r="D25" s="43" t="s">
        <v>163</v>
      </c>
    </row>
  </sheetData>
  <mergeCells count="2">
    <mergeCell ref="A1:D1"/>
    <mergeCell ref="A4:B4"/>
  </mergeCells>
  <phoneticPr fontId="5" type="noConversion"/>
  <hyperlinks>
    <hyperlink ref="D4" location="說明!A1" display="製表說明文件"/>
    <hyperlink ref="D6" location="總表!A1" display="全民健康保險醫療服務核定醫療點數及費用統計"/>
    <hyperlink ref="D8" location="牙醫!A1" display="總額別醫療服務核定醫療點數及費用統計-牙醫門診總額"/>
    <hyperlink ref="D9" location="中醫!A1" display="總額別醫療服務核定醫療點數及費用統計-中醫門診總額"/>
    <hyperlink ref="D10" location="'西基 '!A1" display="總額別醫療服務核定醫療點數及費用統計-西醫基層總額"/>
    <hyperlink ref="D11" location="'醫院 '!A1" display="總額別醫療服務核定醫療點數及費用統計-醫院總額"/>
    <hyperlink ref="D12" location="洗腎!A1" display="總額別醫療服務核定醫療點數及費用統計-洗腎合併預算總額"/>
    <hyperlink ref="D14" location="T!A1" display="分局別醫療服務核定醫療點數及費用統計-台北分局"/>
    <hyperlink ref="D15" location="N!A1" display="分局別醫療服務核定醫療點數及費用統計-北區分局"/>
    <hyperlink ref="D16" location="'C'!A1" display="分局別醫療服務核定醫療點數及費用統計-中區分局"/>
    <hyperlink ref="D17" location="S!A1" display="分局別醫療服務核定醫療點數及費用統計-南區分局"/>
    <hyperlink ref="D18" location="K!A1" display="分局別醫療服務核定醫療點數及費用統計-高屏分局"/>
    <hyperlink ref="D19" location="E!A1" display="分局別醫療服務核定醫療點數及費用統計-東區分局"/>
    <hyperlink ref="D21" location="醫學中心!A1" display="層級別醫療服務核定醫療點數及費用統計-醫學中心"/>
    <hyperlink ref="D22" location="區域醫院!A1" display="層級別醫療服務核定醫療點數及費用統計-區域醫院"/>
    <hyperlink ref="D23" location="地區醫院!A1" display="層級別醫療服務核定醫療點數及費用統計-地區醫院"/>
    <hyperlink ref="D24" location="基層院所!A1" display="層級別醫療服務核定醫療點數及費用統計-基層院所"/>
    <hyperlink ref="D25" location="交付機構!A1" display="層級別醫療服務核定醫療點數及費用統計-交付機構"/>
  </hyperlinks>
  <pageMargins left="0.75" right="0.75" top="1" bottom="1"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Sheet11">
    <pageSetUpPr fitToPage="1"/>
  </sheetPr>
  <dimension ref="A1:S45"/>
  <sheetViews>
    <sheetView showGridLines="0" zoomScale="75" workbookViewId="0">
      <pane ySplit="1" topLeftCell="A2" activePane="bottomLeft" state="frozen"/>
      <selection sqref="A1:D1"/>
      <selection pane="bottomLeft" activeCell="R3" sqref="R3"/>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1.75" style="3" customWidth="1"/>
    <col min="6" max="6" width="10.125" style="3" customWidth="1"/>
    <col min="7" max="7" width="11.5" style="3" bestFit="1" customWidth="1"/>
    <col min="8" max="8" width="11.125" style="3" bestFit="1" customWidth="1"/>
    <col min="9" max="9" width="1.875" style="3" customWidth="1"/>
    <col min="10" max="10" width="12.375" style="3" bestFit="1" customWidth="1"/>
    <col min="11" max="11" width="11.125" style="3" bestFit="1" customWidth="1"/>
    <col min="12" max="12" width="11.5" style="3" bestFit="1" customWidth="1"/>
    <col min="13" max="13" width="11.125" style="3" bestFit="1" customWidth="1"/>
    <col min="14" max="14" width="2.25" style="3" customWidth="1"/>
    <col min="15" max="15" width="11.875" style="3" customWidth="1"/>
    <col min="16" max="16" width="11.75" style="3" customWidth="1"/>
    <col min="17" max="17" width="11.125" style="3" bestFit="1" customWidth="1"/>
    <col min="18" max="16384" width="8.875" style="2"/>
  </cols>
  <sheetData>
    <row r="1" spans="1:19" ht="40.9" customHeight="1">
      <c r="A1" s="89" t="s">
        <v>204</v>
      </c>
      <c r="B1" s="89"/>
      <c r="C1" s="89"/>
      <c r="D1" s="89"/>
      <c r="E1" s="89"/>
      <c r="F1" s="89"/>
      <c r="G1" s="89"/>
      <c r="H1" s="89"/>
      <c r="I1" s="89"/>
      <c r="J1" s="89"/>
      <c r="K1" s="89"/>
      <c r="L1" s="89"/>
      <c r="M1" s="89"/>
      <c r="N1" s="89"/>
      <c r="O1" s="89"/>
      <c r="P1" s="89"/>
      <c r="Q1" s="89"/>
    </row>
    <row r="2" spans="1:19" s="3" customFormat="1">
      <c r="E2" s="90" t="s">
        <v>82</v>
      </c>
      <c r="F2" s="90"/>
      <c r="G2" s="90"/>
      <c r="H2" s="90"/>
      <c r="J2" s="90" t="s">
        <v>83</v>
      </c>
      <c r="K2" s="90"/>
      <c r="L2" s="90"/>
      <c r="M2" s="90"/>
      <c r="O2" s="90" t="s">
        <v>84</v>
      </c>
      <c r="P2" s="90"/>
      <c r="Q2" s="90"/>
    </row>
    <row r="3" spans="1:19" s="3" customFormat="1" ht="33">
      <c r="A3" s="4" t="s">
        <v>85</v>
      </c>
      <c r="B3" s="4" t="s">
        <v>86</v>
      </c>
      <c r="C3" s="4" t="s">
        <v>87</v>
      </c>
      <c r="E3" s="5" t="s">
        <v>218</v>
      </c>
      <c r="F3" s="6" t="s">
        <v>88</v>
      </c>
      <c r="G3" s="35" t="s">
        <v>219</v>
      </c>
      <c r="H3" s="6" t="s">
        <v>88</v>
      </c>
      <c r="J3" s="5" t="s">
        <v>218</v>
      </c>
      <c r="K3" s="6" t="s">
        <v>88</v>
      </c>
      <c r="L3" s="35" t="s">
        <v>219</v>
      </c>
      <c r="M3" s="6" t="s">
        <v>88</v>
      </c>
      <c r="O3" s="5" t="s">
        <v>220</v>
      </c>
      <c r="P3" s="35" t="s">
        <v>221</v>
      </c>
      <c r="Q3" s="35" t="s">
        <v>216</v>
      </c>
      <c r="R3" s="84"/>
    </row>
    <row r="4" spans="1:19">
      <c r="A4" s="88">
        <f>gb_wk!B34</f>
        <v>2004</v>
      </c>
      <c r="B4" s="88"/>
      <c r="C4" s="88"/>
      <c r="D4" s="9"/>
      <c r="E4" s="10"/>
      <c r="F4" s="9"/>
      <c r="G4" s="9"/>
      <c r="H4" s="9"/>
      <c r="I4" s="9"/>
      <c r="J4" s="10"/>
      <c r="K4" s="9"/>
      <c r="L4" s="9"/>
      <c r="M4" s="9"/>
      <c r="N4" s="9"/>
      <c r="O4" s="10"/>
      <c r="P4" s="9"/>
      <c r="Q4" s="9"/>
    </row>
    <row r="5" spans="1:19">
      <c r="A5" s="2"/>
      <c r="B5" s="3" t="str">
        <f>gb_wk!C34</f>
        <v>Q1</v>
      </c>
      <c r="C5" s="3" t="s">
        <v>89</v>
      </c>
      <c r="D5" s="15"/>
      <c r="E5" s="65">
        <f>gb_wk!D34</f>
        <v>58.760912320000003</v>
      </c>
      <c r="F5" s="8">
        <f>E5/O5</f>
        <v>0.96171676538049078</v>
      </c>
      <c r="G5" s="65">
        <f>gb_wk!E34</f>
        <v>55.375658479999998</v>
      </c>
      <c r="H5" s="8">
        <f>G5/P5</f>
        <v>0.95947126602889421</v>
      </c>
      <c r="I5" s="16"/>
      <c r="J5" s="65">
        <f>gb_wk!F34</f>
        <v>2.3391063499999998</v>
      </c>
      <c r="K5" s="8">
        <f>J5/O5</f>
        <v>3.8283234619509152E-2</v>
      </c>
      <c r="L5" s="65">
        <f>gb_wk!G34</f>
        <v>2.3391063499999998</v>
      </c>
      <c r="M5" s="8">
        <f>L5/P5</f>
        <v>4.0528733971105742E-2</v>
      </c>
      <c r="N5" s="16"/>
      <c r="O5" s="65">
        <f>E5+J5</f>
        <v>61.100018670000004</v>
      </c>
      <c r="P5" s="65">
        <f>G5+L5</f>
        <v>57.71476483</v>
      </c>
      <c r="Q5" s="8">
        <f>P5/O5</f>
        <v>0.94459488043230078</v>
      </c>
    </row>
    <row r="6" spans="1:19">
      <c r="B6" s="3" t="str">
        <f>gb_wk!C35</f>
        <v>Q2</v>
      </c>
      <c r="C6" s="3" t="s">
        <v>89</v>
      </c>
      <c r="D6" s="15"/>
      <c r="E6" s="65">
        <f>gb_wk!D35</f>
        <v>59.459131220000003</v>
      </c>
      <c r="F6" s="8">
        <f>E6/O6</f>
        <v>0.96076296825484175</v>
      </c>
      <c r="G6" s="65">
        <f>gb_wk!E35</f>
        <v>58.805712829999997</v>
      </c>
      <c r="H6" s="8">
        <f>G6/P6</f>
        <v>0.96034427599488759</v>
      </c>
      <c r="I6" s="27"/>
      <c r="J6" s="65">
        <f>gb_wk!F35</f>
        <v>2.42827825</v>
      </c>
      <c r="K6" s="8">
        <f>J6/O6</f>
        <v>3.9237031745158295E-2</v>
      </c>
      <c r="L6" s="65">
        <f>gb_wk!G35</f>
        <v>2.42827825</v>
      </c>
      <c r="M6" s="8">
        <f>L6/P6</f>
        <v>3.965572400511249E-2</v>
      </c>
      <c r="N6" s="27"/>
      <c r="O6" s="65">
        <f>E6+J6</f>
        <v>61.887409470000001</v>
      </c>
      <c r="P6" s="65">
        <f>G6+L6</f>
        <v>61.233991079999996</v>
      </c>
      <c r="Q6" s="8">
        <f>P6/O6</f>
        <v>0.98944182030568351</v>
      </c>
    </row>
    <row r="7" spans="1:19">
      <c r="B7" s="3" t="str">
        <f>gb_wk!C36</f>
        <v>Q3</v>
      </c>
      <c r="C7" s="3" t="s">
        <v>89</v>
      </c>
      <c r="D7" s="15"/>
      <c r="E7" s="65">
        <f>gb_wk!D36</f>
        <v>60.235673900000002</v>
      </c>
      <c r="F7" s="8">
        <f>E7/O7</f>
        <v>0.95977460037701712</v>
      </c>
      <c r="G7" s="65">
        <f>gb_wk!E36</f>
        <v>58.463961849999997</v>
      </c>
      <c r="H7" s="8">
        <f>G7/P7</f>
        <v>0.95860605540234878</v>
      </c>
      <c r="I7" s="27"/>
      <c r="J7" s="65">
        <f>gb_wk!F36</f>
        <v>2.5245552999999998</v>
      </c>
      <c r="K7" s="8">
        <f>J7/O7</f>
        <v>4.0225399622982889E-2</v>
      </c>
      <c r="L7" s="65">
        <f>gb_wk!G36</f>
        <v>2.5245552999999998</v>
      </c>
      <c r="M7" s="8">
        <f>L7/P7</f>
        <v>4.1393944597651194E-2</v>
      </c>
      <c r="N7" s="27"/>
      <c r="O7" s="65">
        <f>E7+J7</f>
        <v>62.760229200000005</v>
      </c>
      <c r="P7" s="65">
        <f>G7+L7</f>
        <v>60.98851715</v>
      </c>
      <c r="Q7" s="8">
        <f>P7/O7</f>
        <v>0.97177014691335761</v>
      </c>
    </row>
    <row r="8" spans="1:19">
      <c r="B8" s="4" t="str">
        <f>gb_wk!C37</f>
        <v>Q4</v>
      </c>
      <c r="C8" s="4" t="s">
        <v>89</v>
      </c>
      <c r="D8" s="15"/>
      <c r="E8" s="66">
        <f>gb_wk!D37</f>
        <v>61.353416109999998</v>
      </c>
      <c r="F8" s="13">
        <f>E8/O8</f>
        <v>0.95963643751400307</v>
      </c>
      <c r="G8" s="66">
        <f>gb_wk!E37</f>
        <v>59.530701960000002</v>
      </c>
      <c r="H8" s="13">
        <f>G8/P8</f>
        <v>0.95845193117745642</v>
      </c>
      <c r="I8" s="27"/>
      <c r="J8" s="66">
        <f>gb_wk!F37</f>
        <v>2.5806048499999998</v>
      </c>
      <c r="K8" s="13">
        <f>J8/O8</f>
        <v>4.036356248599697E-2</v>
      </c>
      <c r="L8" s="66">
        <f>gb_wk!G37</f>
        <v>2.5806048499999998</v>
      </c>
      <c r="M8" s="13">
        <f>L8/P8</f>
        <v>4.1548068822543582E-2</v>
      </c>
      <c r="N8" s="27"/>
      <c r="O8" s="66">
        <f>E8+J8</f>
        <v>63.934020959999998</v>
      </c>
      <c r="P8" s="66">
        <f>G8+L8</f>
        <v>62.111306810000002</v>
      </c>
      <c r="Q8" s="13">
        <f>P8/O8</f>
        <v>0.97149070052796516</v>
      </c>
    </row>
    <row r="9" spans="1:19">
      <c r="A9" s="4"/>
      <c r="B9" s="4" t="s">
        <v>90</v>
      </c>
      <c r="C9" s="4" t="s">
        <v>89</v>
      </c>
      <c r="D9" s="15"/>
      <c r="E9" s="66">
        <f>SUM(E5:E8)</f>
        <v>239.80913355000001</v>
      </c>
      <c r="F9" s="13">
        <f>E9/O9</f>
        <v>0.96045947457090608</v>
      </c>
      <c r="G9" s="66">
        <f>SUM(G5:G8)</f>
        <v>232.17603511999999</v>
      </c>
      <c r="H9" s="13">
        <f>G9/P9</f>
        <v>0.95921254834338476</v>
      </c>
      <c r="I9" s="27"/>
      <c r="J9" s="66">
        <f>SUM(J5:J8)</f>
        <v>9.8725447499999994</v>
      </c>
      <c r="K9" s="13">
        <f>J9/O9</f>
        <v>3.9540525429093927E-2</v>
      </c>
      <c r="L9" s="66">
        <f>SUM(L5:L8)</f>
        <v>9.8725447499999994</v>
      </c>
      <c r="M9" s="13">
        <f>L9/P9</f>
        <v>4.0787451656615251E-2</v>
      </c>
      <c r="N9" s="27"/>
      <c r="O9" s="66">
        <f>SUM(O5:O8)</f>
        <v>249.68167830000002</v>
      </c>
      <c r="P9" s="66">
        <f>SUM(P5:P8)</f>
        <v>242.04857987</v>
      </c>
      <c r="Q9" s="13">
        <f>P9/O9</f>
        <v>0.96942868022206807</v>
      </c>
    </row>
    <row r="10" spans="1:19">
      <c r="A10" s="88">
        <f>gb_wk!B38</f>
        <v>2005</v>
      </c>
      <c r="B10" s="88"/>
      <c r="C10" s="88"/>
      <c r="D10" s="15"/>
      <c r="E10" s="7"/>
      <c r="F10" s="8"/>
      <c r="G10" s="7"/>
      <c r="H10" s="8"/>
      <c r="I10" s="27"/>
      <c r="J10" s="7"/>
      <c r="K10" s="8"/>
      <c r="L10" s="7"/>
      <c r="M10" s="8"/>
      <c r="N10" s="27"/>
      <c r="O10" s="7"/>
      <c r="P10" s="7"/>
      <c r="Q10" s="8"/>
    </row>
    <row r="11" spans="1:19">
      <c r="A11" s="2"/>
      <c r="B11" s="3" t="str">
        <f>gb_wk!C38</f>
        <v>Q1</v>
      </c>
      <c r="C11" s="3" t="s">
        <v>89</v>
      </c>
      <c r="D11" s="15"/>
      <c r="E11" s="65">
        <f>gb_wk!D38</f>
        <v>60.782023799999997</v>
      </c>
      <c r="F11" s="8">
        <f>E11/O11</f>
        <v>0.95874031637721502</v>
      </c>
      <c r="G11" s="65">
        <f>gb_wk!E38</f>
        <v>59.139929350000003</v>
      </c>
      <c r="H11" s="8">
        <f>G11/P11</f>
        <v>0.95764321449247136</v>
      </c>
      <c r="I11" s="27"/>
      <c r="J11" s="65">
        <f>gb_wk!F38</f>
        <v>2.6157730400000001</v>
      </c>
      <c r="K11" s="8">
        <f>J11/O11</f>
        <v>4.1259683622785023E-2</v>
      </c>
      <c r="L11" s="65">
        <f>gb_wk!G38</f>
        <v>2.6157730400000001</v>
      </c>
      <c r="M11" s="8">
        <f>L11/P11</f>
        <v>4.2356785507528576E-2</v>
      </c>
      <c r="N11" s="27"/>
      <c r="O11" s="65">
        <f>E11+J11</f>
        <v>63.397796839999998</v>
      </c>
      <c r="P11" s="65">
        <f>G11+L11</f>
        <v>61.755702390000003</v>
      </c>
      <c r="Q11" s="8">
        <f>P11/O11</f>
        <v>0.97409855654536026</v>
      </c>
    </row>
    <row r="12" spans="1:19">
      <c r="C12" s="3" t="s">
        <v>91</v>
      </c>
      <c r="D12" s="15"/>
      <c r="E12" s="8">
        <f>E11/E5-1</f>
        <v>3.4395508854481838E-2</v>
      </c>
      <c r="F12" s="8"/>
      <c r="G12" s="8">
        <f>G11/G5-1</f>
        <v>6.7976995187507328E-2</v>
      </c>
      <c r="H12" s="8"/>
      <c r="I12" s="16"/>
      <c r="J12" s="8">
        <f>J11/J5-1</f>
        <v>0.11827879908068328</v>
      </c>
      <c r="K12" s="8"/>
      <c r="L12" s="8">
        <f>L11/L5-1</f>
        <v>0.11827879908068328</v>
      </c>
      <c r="M12" s="8"/>
      <c r="N12" s="16"/>
      <c r="O12" s="8">
        <f>O11/O5-1</f>
        <v>3.7606832534867962E-2</v>
      </c>
      <c r="P12" s="8">
        <f>P11/P5-1</f>
        <v>7.0015663615760504E-2</v>
      </c>
      <c r="Q12" s="8"/>
    </row>
    <row r="13" spans="1:19">
      <c r="B13" s="3" t="str">
        <f>gb_wk!C39</f>
        <v>Q2</v>
      </c>
      <c r="C13" s="3" t="s">
        <v>89</v>
      </c>
      <c r="D13" s="15"/>
      <c r="E13" s="65">
        <f>gb_wk!D39</f>
        <v>62.986444560000002</v>
      </c>
      <c r="F13" s="8">
        <f>E13/O13</f>
        <v>0.95844434779470944</v>
      </c>
      <c r="G13" s="65">
        <f>gb_wk!E39</f>
        <v>62.730970910000003</v>
      </c>
      <c r="H13" s="8">
        <f>G13/P13</f>
        <v>0.95828217141002225</v>
      </c>
      <c r="I13" s="27"/>
      <c r="J13" s="65">
        <f>gb_wk!F39</f>
        <v>2.73092829</v>
      </c>
      <c r="K13" s="8">
        <f>J13/O13</f>
        <v>4.1555652205290491E-2</v>
      </c>
      <c r="L13" s="65">
        <f>gb_wk!G39</f>
        <v>2.73092829</v>
      </c>
      <c r="M13" s="8">
        <f>L13/P13</f>
        <v>4.1717828589977725E-2</v>
      </c>
      <c r="N13" s="27"/>
      <c r="O13" s="65">
        <f>E13+J13</f>
        <v>65.717372850000004</v>
      </c>
      <c r="P13" s="65">
        <f>G13+L13</f>
        <v>65.461899200000005</v>
      </c>
      <c r="Q13" s="8">
        <f>P13/O13</f>
        <v>0.99611254012568151</v>
      </c>
    </row>
    <row r="14" spans="1:19">
      <c r="C14" s="3" t="s">
        <v>91</v>
      </c>
      <c r="D14" s="15"/>
      <c r="E14" s="8">
        <f>E13/E6-1</f>
        <v>5.932332456975975E-2</v>
      </c>
      <c r="F14" s="8"/>
      <c r="G14" s="8">
        <f>G13/G6-1</f>
        <v>6.6749604606400004E-2</v>
      </c>
      <c r="H14" s="8"/>
      <c r="I14" s="16"/>
      <c r="J14" s="8">
        <f>J13/J6-1</f>
        <v>0.12463565079496153</v>
      </c>
      <c r="K14" s="8"/>
      <c r="L14" s="8">
        <f>L13/L6-1</f>
        <v>0.12463565079496153</v>
      </c>
      <c r="M14" s="8"/>
      <c r="N14" s="16"/>
      <c r="O14" s="8">
        <f>O13/O6-1</f>
        <v>6.1885986387208325E-2</v>
      </c>
      <c r="P14" s="8">
        <f>P13/P6-1</f>
        <v>6.904511767780086E-2</v>
      </c>
      <c r="Q14" s="8"/>
    </row>
    <row r="15" spans="1:19">
      <c r="B15" s="3" t="str">
        <f>gb_wk!C40</f>
        <v>Q3</v>
      </c>
      <c r="C15" s="3" t="s">
        <v>89</v>
      </c>
      <c r="D15" s="15"/>
      <c r="E15" s="65">
        <f>gb_wk!D40</f>
        <v>64.730124799999999</v>
      </c>
      <c r="F15" s="8">
        <f>E15/O15</f>
        <v>0.95794884494155519</v>
      </c>
      <c r="G15" s="65">
        <f>gb_wk!E40</f>
        <v>62.513630800000001</v>
      </c>
      <c r="H15" s="8">
        <f>G15/P15</f>
        <v>0.95652269547117552</v>
      </c>
      <c r="I15" s="27"/>
      <c r="J15" s="65">
        <f>gb_wk!F40</f>
        <v>2.8414633299999998</v>
      </c>
      <c r="K15" s="8">
        <f>J15/O15</f>
        <v>4.2051155058444832E-2</v>
      </c>
      <c r="L15" s="65">
        <f>gb_wk!G40</f>
        <v>2.8414633299999998</v>
      </c>
      <c r="M15" s="8">
        <f>L15/P15</f>
        <v>4.3477304528824492E-2</v>
      </c>
      <c r="N15" s="27"/>
      <c r="O15" s="65">
        <f>E15+J15</f>
        <v>67.571588129999995</v>
      </c>
      <c r="P15" s="65">
        <f>G15+L15</f>
        <v>65.355094129999998</v>
      </c>
      <c r="Q15" s="8">
        <f>P15/O15</f>
        <v>0.96719784067031667</v>
      </c>
    </row>
    <row r="16" spans="1:19">
      <c r="B16" s="9"/>
      <c r="C16" s="9" t="s">
        <v>91</v>
      </c>
      <c r="D16" s="15"/>
      <c r="E16" s="16">
        <f>E15/E7-1</f>
        <v>7.4614437076962803E-2</v>
      </c>
      <c r="F16" s="16"/>
      <c r="G16" s="16">
        <f>G15/G7-1</f>
        <v>6.92677817557108E-2</v>
      </c>
      <c r="H16" s="16"/>
      <c r="I16" s="16"/>
      <c r="J16" s="16">
        <f>J15/J7-1</f>
        <v>0.12553023892960469</v>
      </c>
      <c r="K16" s="16"/>
      <c r="L16" s="16">
        <f>L15/L7-1</f>
        <v>0.12553023892960469</v>
      </c>
      <c r="M16" s="16"/>
      <c r="N16" s="16"/>
      <c r="O16" s="16">
        <f>O15/O7-1</f>
        <v>7.6662545553609851E-2</v>
      </c>
      <c r="P16" s="16">
        <f>P15/P7-1</f>
        <v>7.1596706790894693E-2</v>
      </c>
      <c r="Q16" s="16"/>
      <c r="R16" s="15"/>
      <c r="S16" s="15"/>
    </row>
    <row r="17" spans="1:19" ht="16.149999999999999" customHeight="1">
      <c r="B17" s="3" t="str">
        <f>gb_wk!C41</f>
        <v>Q4</v>
      </c>
      <c r="C17" s="3" t="s">
        <v>89</v>
      </c>
      <c r="D17" s="15"/>
      <c r="E17" s="65">
        <f>gb_wk!D41</f>
        <v>65.586041980000005</v>
      </c>
      <c r="F17" s="8">
        <f>E17/O17</f>
        <v>0.95775846089264216</v>
      </c>
      <c r="G17" s="65">
        <f>gb_wk!E41</f>
        <v>63.63882564</v>
      </c>
      <c r="H17" s="8">
        <f>G17/P17</f>
        <v>0.95652215250786909</v>
      </c>
      <c r="I17" s="27"/>
      <c r="J17" s="65">
        <f>gb_wk!F41</f>
        <v>2.8926451399999999</v>
      </c>
      <c r="K17" s="8">
        <f>J17/O17</f>
        <v>4.2241539107357812E-2</v>
      </c>
      <c r="L17" s="65">
        <f>gb_wk!G41</f>
        <v>2.8926451399999999</v>
      </c>
      <c r="M17" s="8">
        <f>L17/P17</f>
        <v>4.3477847492130843E-2</v>
      </c>
      <c r="N17" s="27"/>
      <c r="O17" s="65">
        <f>E17+J17</f>
        <v>68.478687120000004</v>
      </c>
      <c r="P17" s="65">
        <f>G17+L17</f>
        <v>66.531470780000006</v>
      </c>
      <c r="Q17" s="8">
        <f>P17/O17</f>
        <v>0.97156463679585803</v>
      </c>
    </row>
    <row r="18" spans="1:19" ht="16.149999999999999" customHeight="1">
      <c r="B18" s="4"/>
      <c r="C18" s="4" t="s">
        <v>91</v>
      </c>
      <c r="D18" s="15"/>
      <c r="E18" s="13">
        <f>E17/E8-1</f>
        <v>6.8987615333616858E-2</v>
      </c>
      <c r="F18" s="13"/>
      <c r="G18" s="13">
        <f>G17/G8-1</f>
        <v>6.9008487129218476E-2</v>
      </c>
      <c r="H18" s="13"/>
      <c r="I18" s="27"/>
      <c r="J18" s="13">
        <f>J17/J8-1</f>
        <v>0.12091750118194189</v>
      </c>
      <c r="K18" s="13"/>
      <c r="L18" s="13">
        <f>L17/L8-1</f>
        <v>0.12091750118194189</v>
      </c>
      <c r="M18" s="13"/>
      <c r="N18" s="27"/>
      <c r="O18" s="13">
        <f>O17/O8-1</f>
        <v>7.108369052594643E-2</v>
      </c>
      <c r="P18" s="13">
        <f>P17/P8-1</f>
        <v>7.1165206417591387E-2</v>
      </c>
      <c r="Q18" s="13"/>
    </row>
    <row r="19" spans="1:19">
      <c r="B19" s="3" t="s">
        <v>90</v>
      </c>
      <c r="C19" s="3" t="s">
        <v>89</v>
      </c>
      <c r="D19" s="15"/>
      <c r="E19" s="65">
        <f>E15+E13+E11+E17</f>
        <v>254.08463513999999</v>
      </c>
      <c r="F19" s="8">
        <f>E19/O19</f>
        <v>0.95821171268184158</v>
      </c>
      <c r="G19" s="65">
        <f>G15+G13+G11+G17</f>
        <v>248.02335670000002</v>
      </c>
      <c r="H19" s="8">
        <f>G19/P19</f>
        <v>0.95723415045894289</v>
      </c>
      <c r="I19" s="27"/>
      <c r="J19" s="65">
        <f>J15+J13+J11+J17</f>
        <v>11.080809800000001</v>
      </c>
      <c r="K19" s="8">
        <f>J19/O19</f>
        <v>4.1788287318158278E-2</v>
      </c>
      <c r="L19" s="65">
        <f>L15+L13+L11+L17</f>
        <v>11.080809800000001</v>
      </c>
      <c r="M19" s="8">
        <f>L19/P19</f>
        <v>4.2765849541057069E-2</v>
      </c>
      <c r="N19" s="27"/>
      <c r="O19" s="65">
        <f>O15+O13+O11+O17</f>
        <v>265.16544494000004</v>
      </c>
      <c r="P19" s="65">
        <f>P15+P13+P11+P17</f>
        <v>259.10416650000002</v>
      </c>
      <c r="Q19" s="8">
        <f>P19/O19</f>
        <v>0.97714152218675576</v>
      </c>
    </row>
    <row r="20" spans="1:19">
      <c r="A20" s="4"/>
      <c r="B20" s="4"/>
      <c r="C20" s="4" t="s">
        <v>91</v>
      </c>
      <c r="D20" s="15"/>
      <c r="E20" s="13">
        <f>E19/E9-1</f>
        <v>5.9528598342662997E-2</v>
      </c>
      <c r="F20" s="13"/>
      <c r="G20" s="13">
        <f>G19/G9-1</f>
        <v>6.8255630137750156E-2</v>
      </c>
      <c r="H20" s="13"/>
      <c r="I20" s="16"/>
      <c r="J20" s="13">
        <f>J19/J9-1</f>
        <v>0.12238638371327726</v>
      </c>
      <c r="K20" s="13"/>
      <c r="L20" s="13">
        <f>L19/L9-1</f>
        <v>0.12238638371327726</v>
      </c>
      <c r="M20" s="13"/>
      <c r="N20" s="16"/>
      <c r="O20" s="13">
        <f>O19/O9-1</f>
        <v>6.2014028203526417E-2</v>
      </c>
      <c r="P20" s="13">
        <f>P19/P9-1</f>
        <v>7.0463485632348055E-2</v>
      </c>
      <c r="Q20" s="13"/>
    </row>
    <row r="21" spans="1:19">
      <c r="A21" s="92">
        <f>gb_wk!B46</f>
        <v>2006</v>
      </c>
      <c r="B21" s="92"/>
      <c r="C21" s="92"/>
      <c r="D21" s="15"/>
      <c r="E21" s="27"/>
      <c r="F21" s="16"/>
      <c r="G21" s="27"/>
      <c r="H21" s="16"/>
      <c r="I21" s="27"/>
      <c r="J21" s="27"/>
      <c r="K21" s="16"/>
      <c r="L21" s="27"/>
      <c r="M21" s="16"/>
      <c r="N21" s="27"/>
      <c r="O21" s="27"/>
      <c r="P21" s="27"/>
      <c r="Q21" s="16"/>
    </row>
    <row r="22" spans="1:19">
      <c r="A22" s="15"/>
      <c r="B22" s="9" t="str">
        <f>gb_wk!C46</f>
        <v>Q1</v>
      </c>
      <c r="C22" s="9" t="s">
        <v>89</v>
      </c>
      <c r="D22" s="15"/>
      <c r="E22" s="68">
        <f>gb_wk!D46</f>
        <v>64.262753619999998</v>
      </c>
      <c r="F22" s="16">
        <f>E22/O22</f>
        <v>0.94183658656781566</v>
      </c>
      <c r="G22" s="68">
        <f>gb_wk!E46</f>
        <v>61.38449172</v>
      </c>
      <c r="H22" s="16">
        <f>G22/P22</f>
        <v>0.93927496907864683</v>
      </c>
      <c r="I22" s="27"/>
      <c r="J22" s="68">
        <f>gb_wk!F46</f>
        <v>3.9685664799999998</v>
      </c>
      <c r="K22" s="16">
        <f>J22/O22</f>
        <v>5.8163413432184195E-2</v>
      </c>
      <c r="L22" s="68">
        <f>gb_wk!G46</f>
        <v>3.9685664799999998</v>
      </c>
      <c r="M22" s="16">
        <f>L22/P22</f>
        <v>6.0725030921353278E-2</v>
      </c>
      <c r="N22" s="27"/>
      <c r="O22" s="68">
        <f>E22+J22</f>
        <v>68.231320100000005</v>
      </c>
      <c r="P22" s="68">
        <f>G22+L22</f>
        <v>65.353058199999992</v>
      </c>
      <c r="Q22" s="16">
        <f>P22/O22</f>
        <v>0.95781611881784456</v>
      </c>
    </row>
    <row r="23" spans="1:19">
      <c r="A23" s="9"/>
      <c r="B23" s="9"/>
      <c r="C23" s="9" t="s">
        <v>91</v>
      </c>
      <c r="D23" s="15"/>
      <c r="E23" s="16">
        <f>E22/E11-1</f>
        <v>5.7265776991124229E-2</v>
      </c>
      <c r="F23" s="16"/>
      <c r="G23" s="16">
        <f>G22/G11-1</f>
        <v>3.7953416493217373E-2</v>
      </c>
      <c r="H23" s="16"/>
      <c r="I23" s="16"/>
      <c r="J23" s="16">
        <f>J22/J11-1</f>
        <v>0.51716774326873538</v>
      </c>
      <c r="K23" s="16"/>
      <c r="L23" s="16">
        <f>L22/L11-1</f>
        <v>0.51716774326873538</v>
      </c>
      <c r="M23" s="16"/>
      <c r="N23" s="16"/>
      <c r="O23" s="16">
        <f>O22/O11-1</f>
        <v>7.6241186617235224E-2</v>
      </c>
      <c r="P23" s="16">
        <f>P22/P11-1</f>
        <v>5.8251394944582424E-2</v>
      </c>
      <c r="Q23" s="16"/>
    </row>
    <row r="24" spans="1:19">
      <c r="B24" s="3" t="str">
        <f>gb_wk!C48</f>
        <v>Q2</v>
      </c>
      <c r="C24" s="3" t="s">
        <v>89</v>
      </c>
      <c r="D24" s="15"/>
      <c r="E24" s="65">
        <f>gb_wk!D51</f>
        <v>65.913772390000005</v>
      </c>
      <c r="F24" s="8">
        <f>E24/O24</f>
        <v>0.94039192102439073</v>
      </c>
      <c r="G24" s="65">
        <f>gb_wk!E51</f>
        <v>65.066089640000001</v>
      </c>
      <c r="H24" s="8">
        <f>G24/P24</f>
        <v>0.93966220224679842</v>
      </c>
      <c r="I24" s="27"/>
      <c r="J24" s="65">
        <f>gb_wk!F51</f>
        <v>4.1780381799999997</v>
      </c>
      <c r="K24" s="8">
        <f>J24/O24</f>
        <v>5.9608078975609192E-2</v>
      </c>
      <c r="L24" s="65">
        <f>gb_wk!G51</f>
        <v>4.1780381799999997</v>
      </c>
      <c r="M24" s="8">
        <f>L24/P24</f>
        <v>6.033779775320159E-2</v>
      </c>
      <c r="N24" s="27"/>
      <c r="O24" s="65">
        <f>E24+J24</f>
        <v>70.091810570000007</v>
      </c>
      <c r="P24" s="65">
        <f>G24+L24</f>
        <v>69.244127820000003</v>
      </c>
      <c r="Q24" s="8">
        <f>P24/O24</f>
        <v>0.98790610852956307</v>
      </c>
    </row>
    <row r="25" spans="1:19">
      <c r="A25" s="9"/>
      <c r="B25" s="9"/>
      <c r="C25" s="9" t="s">
        <v>91</v>
      </c>
      <c r="D25" s="15"/>
      <c r="E25" s="16">
        <f>E24/E13-1</f>
        <v>4.6475521049794688E-2</v>
      </c>
      <c r="F25" s="16"/>
      <c r="G25" s="16">
        <f>G24/G13-1</f>
        <v>3.7224335860355007E-2</v>
      </c>
      <c r="H25" s="16"/>
      <c r="I25" s="16"/>
      <c r="J25" s="16">
        <f>J24/J13-1</f>
        <v>0.52989670043661219</v>
      </c>
      <c r="K25" s="16"/>
      <c r="L25" s="16">
        <f>L24/L13-1</f>
        <v>0.52989670043661219</v>
      </c>
      <c r="M25" s="16"/>
      <c r="N25" s="16"/>
      <c r="O25" s="16">
        <f>O24/O13-1</f>
        <v>6.6564403449064669E-2</v>
      </c>
      <c r="P25" s="16">
        <f>P24/P13-1</f>
        <v>5.7777557116766243E-2</v>
      </c>
      <c r="Q25" s="16"/>
    </row>
    <row r="26" spans="1:19">
      <c r="A26" s="9"/>
      <c r="B26" s="9" t="str">
        <f>gb_wk!C57</f>
        <v>Q3</v>
      </c>
      <c r="C26" s="9" t="s">
        <v>89</v>
      </c>
      <c r="D26" s="15"/>
      <c r="E26" s="68">
        <f>gb_wk!D57</f>
        <v>67.123951180000006</v>
      </c>
      <c r="F26" s="16">
        <f>E26/O26</f>
        <v>0.9385521245709445</v>
      </c>
      <c r="G26" s="68">
        <f>gb_wk!E57</f>
        <v>64.806936429999993</v>
      </c>
      <c r="H26" s="16">
        <f>G26/P26</f>
        <v>0.93649472089299812</v>
      </c>
      <c r="I26" s="27"/>
      <c r="J26" s="68">
        <f>gb_wk!F57</f>
        <v>4.3946671500000001</v>
      </c>
      <c r="K26" s="16">
        <f>J26/O26</f>
        <v>6.1447875429055422E-2</v>
      </c>
      <c r="L26" s="68">
        <f>gb_wk!G57</f>
        <v>4.3946671500000001</v>
      </c>
      <c r="M26" s="16">
        <f>L26/P26</f>
        <v>6.3505279107001877E-2</v>
      </c>
      <c r="N26" s="27"/>
      <c r="O26" s="68">
        <f>E26+J26</f>
        <v>71.51861833000001</v>
      </c>
      <c r="P26" s="68">
        <f>G26+L26</f>
        <v>69.201603579999997</v>
      </c>
      <c r="Q26" s="16">
        <f>P26/O26</f>
        <v>0.96760263545208769</v>
      </c>
    </row>
    <row r="27" spans="1:19">
      <c r="A27" s="9"/>
      <c r="B27" s="9"/>
      <c r="C27" s="9" t="s">
        <v>91</v>
      </c>
      <c r="D27" s="15"/>
      <c r="E27" s="16">
        <f>E26/E15-1</f>
        <v>3.698164320548325E-2</v>
      </c>
      <c r="F27" s="16"/>
      <c r="G27" s="16">
        <f>G26/G15-1</f>
        <v>3.6684889369759555E-2</v>
      </c>
      <c r="H27" s="16"/>
      <c r="I27" s="16"/>
      <c r="J27" s="16">
        <f>J26/J15-1</f>
        <v>0.54662110314828527</v>
      </c>
      <c r="K27" s="16"/>
      <c r="L27" s="16">
        <f>L26/L15-1</f>
        <v>0.54662110314828527</v>
      </c>
      <c r="M27" s="16"/>
      <c r="N27" s="16"/>
      <c r="O27" s="16">
        <f>O26/O15-1</f>
        <v>5.8412571159440319E-2</v>
      </c>
      <c r="P27" s="16">
        <f>P26/P15-1</f>
        <v>5.8855541426484415E-2</v>
      </c>
      <c r="Q27" s="16"/>
      <c r="R27" s="15"/>
      <c r="S27" s="15"/>
    </row>
    <row r="28" spans="1:19" ht="16.149999999999999" customHeight="1">
      <c r="A28" s="9"/>
      <c r="B28" s="9" t="str">
        <f>gb_wk!C63</f>
        <v>Q4</v>
      </c>
      <c r="C28" s="9" t="s">
        <v>89</v>
      </c>
      <c r="D28" s="15"/>
      <c r="E28" s="68">
        <f>gb_wk!D63</f>
        <v>67.172615339999993</v>
      </c>
      <c r="F28" s="16">
        <f>E28/O28</f>
        <v>0.93626057030445164</v>
      </c>
      <c r="G28" s="68">
        <f>gb_wk!E63</f>
        <v>65.917339179999999</v>
      </c>
      <c r="H28" s="16">
        <f>G28/P28</f>
        <v>0.93512551325053106</v>
      </c>
      <c r="I28" s="27"/>
      <c r="J28" s="68">
        <f>gb_wk!F63</f>
        <v>4.5730262799999997</v>
      </c>
      <c r="K28" s="16">
        <f>J28/O28</f>
        <v>6.3739429695548397E-2</v>
      </c>
      <c r="L28" s="68">
        <f>gb_wk!G63</f>
        <v>4.5730262799999997</v>
      </c>
      <c r="M28" s="16">
        <f>L28/P28</f>
        <v>6.4874486749469037E-2</v>
      </c>
      <c r="N28" s="27"/>
      <c r="O28" s="68">
        <f>E28+J28</f>
        <v>71.745641619999986</v>
      </c>
      <c r="P28" s="68">
        <f>G28+L28</f>
        <v>70.490365459999992</v>
      </c>
      <c r="Q28" s="16">
        <f>P28/O28</f>
        <v>0.98250379909279295</v>
      </c>
    </row>
    <row r="29" spans="1:19" ht="16.149999999999999" customHeight="1">
      <c r="B29" s="4"/>
      <c r="C29" s="4" t="s">
        <v>91</v>
      </c>
      <c r="D29" s="15"/>
      <c r="E29" s="13">
        <f>E28/E17-1</f>
        <v>2.4190716684562297E-2</v>
      </c>
      <c r="F29" s="13"/>
      <c r="G29" s="13">
        <f>G28/G17-1</f>
        <v>3.5803827570442204E-2</v>
      </c>
      <c r="H29" s="13"/>
      <c r="I29" s="27"/>
      <c r="J29" s="13">
        <f>J28/J17-1</f>
        <v>0.58091506516419766</v>
      </c>
      <c r="K29" s="13"/>
      <c r="L29" s="13">
        <f>L28/L17-1</f>
        <v>0.58091506516419766</v>
      </c>
      <c r="M29" s="13"/>
      <c r="N29" s="27"/>
      <c r="O29" s="13">
        <f>O28/O17-1</f>
        <v>4.770761002288304E-2</v>
      </c>
      <c r="P29" s="13">
        <f>P28/P17-1</f>
        <v>5.9504090824790135E-2</v>
      </c>
      <c r="Q29" s="13"/>
    </row>
    <row r="30" spans="1:19">
      <c r="B30" s="3" t="s">
        <v>90</v>
      </c>
      <c r="C30" s="3" t="s">
        <v>89</v>
      </c>
      <c r="D30" s="15"/>
      <c r="E30" s="68">
        <f>E26+E24+E22+E28</f>
        <v>264.47309253000003</v>
      </c>
      <c r="F30" s="8">
        <f>E30/O30</f>
        <v>0.93922207222305776</v>
      </c>
      <c r="G30" s="68">
        <f>G26+G24+G22+G28</f>
        <v>257.17485696999995</v>
      </c>
      <c r="H30" s="8">
        <f>G30/P30</f>
        <v>0.93760490426150345</v>
      </c>
      <c r="I30" s="27"/>
      <c r="J30" s="68">
        <f>J26+J24+J22+J28</f>
        <v>17.114298089999998</v>
      </c>
      <c r="K30" s="8">
        <f>J30/O30</f>
        <v>6.0777927776942291E-2</v>
      </c>
      <c r="L30" s="68">
        <f>L26+L24+L22+L28</f>
        <v>17.114298089999998</v>
      </c>
      <c r="M30" s="8">
        <f>L30/P30</f>
        <v>6.2395095738496456E-2</v>
      </c>
      <c r="N30" s="27"/>
      <c r="O30" s="68">
        <f>O26+O24+O22+O28</f>
        <v>281.58739062000001</v>
      </c>
      <c r="P30" s="68">
        <f>P26+P24+P22+P28</f>
        <v>274.28915505999998</v>
      </c>
      <c r="Q30" s="8">
        <f>P30/O30</f>
        <v>0.97408180975742298</v>
      </c>
    </row>
    <row r="31" spans="1:19">
      <c r="A31" s="4"/>
      <c r="B31" s="4"/>
      <c r="C31" s="4" t="s">
        <v>91</v>
      </c>
      <c r="D31" s="15"/>
      <c r="E31" s="13">
        <f>E30/E19-1</f>
        <v>4.0885815013080196E-2</v>
      </c>
      <c r="F31" s="13"/>
      <c r="G31" s="13">
        <f>G30/G19-1</f>
        <v>3.6897735728451009E-2</v>
      </c>
      <c r="H31" s="13"/>
      <c r="I31" s="16"/>
      <c r="J31" s="13">
        <f>J30/J19-1</f>
        <v>0.54449885873864545</v>
      </c>
      <c r="K31" s="13"/>
      <c r="L31" s="13">
        <f>L30/L19-1</f>
        <v>0.54449885873864545</v>
      </c>
      <c r="M31" s="13"/>
      <c r="N31" s="16"/>
      <c r="O31" s="13">
        <f>O30/O19-1</f>
        <v>6.1930941581456178E-2</v>
      </c>
      <c r="P31" s="13">
        <f>P30/P19-1</f>
        <v>5.8605728981976801E-2</v>
      </c>
      <c r="Q31" s="13"/>
    </row>
    <row r="32" spans="1:19">
      <c r="A32" s="9"/>
      <c r="B32" s="9"/>
      <c r="C32" s="9"/>
      <c r="D32" s="15"/>
      <c r="E32" s="16"/>
      <c r="F32" s="16"/>
      <c r="G32" s="16"/>
      <c r="H32" s="16"/>
      <c r="I32" s="16"/>
      <c r="J32" s="16"/>
      <c r="K32" s="16"/>
      <c r="L32" s="16"/>
      <c r="M32" s="16"/>
      <c r="N32" s="16"/>
      <c r="O32" s="16"/>
      <c r="P32" s="16"/>
      <c r="Q32" s="16"/>
    </row>
    <row r="33" spans="1:17">
      <c r="A33" s="9"/>
      <c r="B33" s="9"/>
      <c r="C33" s="9"/>
      <c r="D33" s="15"/>
      <c r="E33" s="16"/>
      <c r="F33" s="16"/>
      <c r="G33" s="16"/>
      <c r="H33" s="16"/>
      <c r="I33" s="16"/>
      <c r="J33" s="16"/>
      <c r="K33" s="16"/>
      <c r="L33" s="16"/>
      <c r="M33" s="16"/>
      <c r="N33" s="16"/>
      <c r="O33" s="16"/>
      <c r="P33" s="16"/>
      <c r="Q33" s="16"/>
    </row>
    <row r="34" spans="1:17">
      <c r="A34" s="9"/>
      <c r="B34" s="9"/>
      <c r="C34" s="9"/>
      <c r="D34" s="15"/>
      <c r="E34" s="16"/>
      <c r="F34" s="16"/>
      <c r="G34" s="16"/>
      <c r="H34" s="16"/>
      <c r="I34" s="16"/>
      <c r="J34" s="16"/>
      <c r="K34" s="16"/>
      <c r="L34" s="16"/>
      <c r="M34" s="16"/>
      <c r="N34" s="16"/>
      <c r="O34" s="16"/>
      <c r="P34" s="16"/>
      <c r="Q34" s="16"/>
    </row>
    <row r="35" spans="1:17">
      <c r="A35" s="34" t="str">
        <f>說明!B18</f>
        <v>1.</v>
      </c>
      <c r="B35" s="34" t="str">
        <f>說明!C18</f>
        <v>資料來源：總額各案件核定醫療費用分攤明細(PHFB_DECIDE_DIST)</v>
      </c>
      <c r="E35" s="7"/>
      <c r="F35" s="8"/>
      <c r="G35" s="7"/>
      <c r="H35" s="8"/>
      <c r="J35" s="7"/>
      <c r="K35" s="8"/>
      <c r="L35" s="7"/>
      <c r="M35" s="8"/>
      <c r="O35" s="7"/>
      <c r="P35" s="7"/>
      <c r="Q35" s="8"/>
    </row>
    <row r="36" spans="1:17">
      <c r="A36" s="34" t="str">
        <f>說明!B19</f>
        <v>2.</v>
      </c>
      <c r="B36" s="34" t="str">
        <f>說明!C19</f>
        <v>資料處理：</v>
      </c>
      <c r="E36" s="7"/>
      <c r="F36" s="8"/>
      <c r="G36" s="7"/>
      <c r="H36" s="8"/>
      <c r="J36" s="7"/>
      <c r="K36" s="8"/>
      <c r="L36" s="7"/>
      <c r="M36" s="8"/>
      <c r="O36" s="7"/>
      <c r="P36" s="7"/>
      <c r="Q36" s="8"/>
    </row>
    <row r="37" spans="1:17">
      <c r="A37" s="34"/>
      <c r="B37" s="34" t="str">
        <f>說明!C20</f>
        <v>※本表僅含當季核定之送核、補報資料</v>
      </c>
      <c r="E37" s="7"/>
      <c r="F37" s="8"/>
      <c r="G37" s="7"/>
      <c r="H37" s="8"/>
      <c r="J37" s="7"/>
      <c r="K37" s="8"/>
      <c r="L37" s="7"/>
      <c r="M37" s="8"/>
      <c r="O37" s="7"/>
      <c r="P37" s="7"/>
      <c r="Q37" s="8"/>
    </row>
    <row r="38" spans="1:17">
      <c r="A38" s="34"/>
      <c r="B38" s="34" t="str">
        <f>說明!C21</f>
        <v>※本表不含申複、爭議審議等之核定醫療點數及費用</v>
      </c>
      <c r="E38" s="7"/>
      <c r="F38" s="8"/>
      <c r="G38" s="7"/>
      <c r="H38" s="8"/>
      <c r="J38" s="7"/>
      <c r="K38" s="8"/>
      <c r="L38" s="7"/>
      <c r="M38" s="8"/>
      <c r="O38" s="7"/>
      <c r="P38" s="7"/>
      <c r="Q38" s="8"/>
    </row>
    <row r="39" spans="1:17">
      <c r="A39" s="34"/>
      <c r="B39" s="34" t="str">
        <f>說明!C22</f>
        <v>※本表不含代辦、總額外及追扣、補付付款之項目</v>
      </c>
      <c r="E39" s="7"/>
      <c r="F39" s="8"/>
      <c r="G39" s="7"/>
      <c r="H39" s="8"/>
      <c r="J39" s="7"/>
      <c r="K39" s="8"/>
      <c r="L39" s="7"/>
      <c r="M39" s="8"/>
      <c r="O39" s="7"/>
      <c r="P39" s="7"/>
      <c r="Q39" s="8"/>
    </row>
    <row r="40" spans="1:17">
      <c r="A40" s="34"/>
      <c r="B40" s="34" t="str">
        <f>說明!C23</f>
        <v>※本表所謂浮動點值部分係指各總額別中一般部門預算之浮動點值部份</v>
      </c>
      <c r="E40" s="7"/>
      <c r="F40" s="8"/>
      <c r="G40" s="7"/>
      <c r="H40" s="8"/>
      <c r="J40" s="7"/>
      <c r="K40" s="8"/>
      <c r="L40" s="7"/>
      <c r="M40" s="8"/>
      <c r="O40" s="7"/>
      <c r="P40" s="7"/>
      <c r="Q40" s="8"/>
    </row>
    <row r="41" spans="1:17">
      <c r="A41" s="34"/>
      <c r="B41" s="34" t="str">
        <f>說明!C24</f>
        <v>※本表所謂固定點值部分係指各總額別中一般部門預算之非浮動點值及專款部份</v>
      </c>
    </row>
    <row r="42" spans="1:17">
      <c r="A42" s="34"/>
      <c r="B42" s="34" t="str">
        <f>說明!C25</f>
        <v>※層級別中不含處方釋出之醫療點數及費用</v>
      </c>
    </row>
    <row r="43" spans="1:17">
      <c r="A43" s="34"/>
      <c r="B43" s="34"/>
    </row>
    <row r="44" spans="1:17">
      <c r="A44" s="34"/>
      <c r="B44" s="34"/>
    </row>
    <row r="45" spans="1:17">
      <c r="A45" s="34"/>
      <c r="B45" s="34"/>
    </row>
  </sheetData>
  <mergeCells count="7">
    <mergeCell ref="A21:C21"/>
    <mergeCell ref="A4:C4"/>
    <mergeCell ref="A10:C10"/>
    <mergeCell ref="A1:Q1"/>
    <mergeCell ref="E2:H2"/>
    <mergeCell ref="J2:M2"/>
    <mergeCell ref="O2:Q2"/>
  </mergeCells>
  <phoneticPr fontId="5" type="noConversion"/>
  <hyperlinks>
    <hyperlink ref="A1:Q1" location="目錄!A1" display="全民健康保險醫療服務核定醫療點數及費用統計_總表"/>
  </hyperlinks>
  <printOptions horizontalCentered="1" verticalCentered="1"/>
  <pageMargins left="0.55118110236220474" right="0.35433070866141736" top="0.78740157480314965" bottom="0.78740157480314965" header="0.51181102362204722" footer="0.51181102362204722"/>
  <pageSetup paperSize="9" scale="84"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Sheet7"/>
  <dimension ref="A1:G75"/>
  <sheetViews>
    <sheetView zoomScale="75" workbookViewId="0">
      <pane ySplit="1" topLeftCell="A53" activePane="bottomLeft" state="frozen"/>
      <selection pane="bottomLeft" activeCell="I68" sqref="I68"/>
    </sheetView>
  </sheetViews>
  <sheetFormatPr defaultColWidth="8.875" defaultRowHeight="15"/>
  <cols>
    <col min="1" max="1" width="18.25" style="14" customWidth="1"/>
    <col min="2" max="2" width="17.5" style="14" customWidth="1"/>
    <col min="3" max="3" width="12.875" style="14" customWidth="1"/>
    <col min="4" max="4" width="16.25" style="14" bestFit="1" customWidth="1"/>
    <col min="5" max="7" width="15.5" style="14" customWidth="1"/>
    <col min="8" max="16384" width="8.875" style="14"/>
  </cols>
  <sheetData>
    <row r="1" spans="1:7" ht="17.25">
      <c r="A1" s="47" t="s">
        <v>23</v>
      </c>
      <c r="B1" s="48" t="s">
        <v>0</v>
      </c>
      <c r="C1" s="47" t="s">
        <v>1</v>
      </c>
      <c r="D1" s="48" t="s">
        <v>2</v>
      </c>
      <c r="E1" s="48" t="s">
        <v>3</v>
      </c>
      <c r="F1" s="48" t="s">
        <v>4</v>
      </c>
      <c r="G1" s="48" t="s">
        <v>5</v>
      </c>
    </row>
    <row r="2" spans="1:7">
      <c r="A2" s="49" t="s">
        <v>24</v>
      </c>
      <c r="B2" s="50">
        <v>2004</v>
      </c>
      <c r="C2" s="49" t="s">
        <v>6</v>
      </c>
      <c r="D2" s="50">
        <f>14998860376/100000000</f>
        <v>149.98860375999999</v>
      </c>
      <c r="E2" s="50">
        <f>13300639563/100000000</f>
        <v>133.00639562999999</v>
      </c>
      <c r="F2" s="50">
        <f>5632261956/100000000</f>
        <v>56.32261956</v>
      </c>
      <c r="G2" s="50">
        <f>5632960850/100000000</f>
        <v>56.329608499999999</v>
      </c>
    </row>
    <row r="3" spans="1:7">
      <c r="A3" s="49" t="s">
        <v>24</v>
      </c>
      <c r="B3" s="50">
        <v>2004</v>
      </c>
      <c r="C3" s="49" t="s">
        <v>7</v>
      </c>
      <c r="D3" s="50">
        <f>15735882347/100000000</f>
        <v>157.35882347</v>
      </c>
      <c r="E3" s="50">
        <f>13945309636/100000000</f>
        <v>139.45309635999999</v>
      </c>
      <c r="F3" s="50">
        <f>5720030582/100000000</f>
        <v>57.200305819999997</v>
      </c>
      <c r="G3" s="50">
        <f>5721648976/100000000</f>
        <v>57.216489760000002</v>
      </c>
    </row>
    <row r="4" spans="1:7">
      <c r="A4" s="49" t="s">
        <v>24</v>
      </c>
      <c r="B4" s="50">
        <v>2004</v>
      </c>
      <c r="C4" s="49" t="s">
        <v>8</v>
      </c>
      <c r="D4" s="50">
        <f>16148355582/100000000</f>
        <v>161.48355581999999</v>
      </c>
      <c r="E4" s="50">
        <f>14081397023/100000000</f>
        <v>140.81397023</v>
      </c>
      <c r="F4" s="50">
        <f>5582804643/100000000</f>
        <v>55.828046430000001</v>
      </c>
      <c r="G4" s="50">
        <f>5586845255/100000000</f>
        <v>55.868452550000001</v>
      </c>
    </row>
    <row r="5" spans="1:7">
      <c r="A5" s="49" t="s">
        <v>24</v>
      </c>
      <c r="B5" s="50">
        <v>2004</v>
      </c>
      <c r="C5" s="49" t="s">
        <v>9</v>
      </c>
      <c r="D5" s="50">
        <f>16588498933/100000000</f>
        <v>165.88498933</v>
      </c>
      <c r="E5" s="50">
        <f>14083848278/100000000</f>
        <v>140.83848277999999</v>
      </c>
      <c r="F5" s="50">
        <f>5801085437/100000000</f>
        <v>58.010854369999997</v>
      </c>
      <c r="G5" s="50">
        <f>5807397947/100000000</f>
        <v>58.073979469999998</v>
      </c>
    </row>
    <row r="6" spans="1:7">
      <c r="A6" s="49" t="s">
        <v>24</v>
      </c>
      <c r="B6" s="50">
        <v>2005</v>
      </c>
      <c r="C6" s="49" t="s">
        <v>6</v>
      </c>
      <c r="D6" s="50">
        <f>14426880423/100000000</f>
        <v>144.26880423</v>
      </c>
      <c r="E6" s="50">
        <f>11856804669/100000000</f>
        <v>118.56804669</v>
      </c>
      <c r="F6" s="50">
        <f>7129890553/100000000</f>
        <v>71.298905529999999</v>
      </c>
      <c r="G6" s="50">
        <f>7132216421/100000000</f>
        <v>71.322164209999997</v>
      </c>
    </row>
    <row r="7" spans="1:7">
      <c r="A7" s="49" t="s">
        <v>24</v>
      </c>
      <c r="B7" s="50">
        <v>2005</v>
      </c>
      <c r="C7" s="49" t="s">
        <v>7</v>
      </c>
      <c r="D7" s="50">
        <f>15094278753/100000000</f>
        <v>150.94278753</v>
      </c>
      <c r="E7" s="50">
        <f>12667869358/100000000</f>
        <v>126.67869358</v>
      </c>
      <c r="F7" s="50">
        <f>7321083879/100000000</f>
        <v>73.210838789999997</v>
      </c>
      <c r="G7" s="50">
        <f>7325490670/100000000</f>
        <v>73.254906700000006</v>
      </c>
    </row>
    <row r="8" spans="1:7">
      <c r="A8" s="49" t="s">
        <v>24</v>
      </c>
      <c r="B8" s="50">
        <v>2005</v>
      </c>
      <c r="C8" s="49" t="s">
        <v>8</v>
      </c>
      <c r="D8" s="50">
        <f>14695722692/100000000</f>
        <v>146.95722692000001</v>
      </c>
      <c r="E8" s="50">
        <f>12530440432/100000000</f>
        <v>125.30440432</v>
      </c>
      <c r="F8" s="50">
        <f>7218658500/100000000</f>
        <v>72.186584999999994</v>
      </c>
      <c r="G8" s="50">
        <f>7222720434/100000000</f>
        <v>72.22720434</v>
      </c>
    </row>
    <row r="9" spans="1:7">
      <c r="A9" s="49" t="s">
        <v>24</v>
      </c>
      <c r="B9" s="50">
        <v>2005</v>
      </c>
      <c r="C9" s="49" t="s">
        <v>9</v>
      </c>
      <c r="D9" s="50">
        <f>14859660145/100000000</f>
        <v>148.59660145000001</v>
      </c>
      <c r="E9" s="50">
        <f>12864021515/100000000</f>
        <v>128.64021514999999</v>
      </c>
      <c r="F9" s="50">
        <f>7391232894/100000000</f>
        <v>73.912328939999995</v>
      </c>
      <c r="G9" s="50">
        <f>7395706141/100000000</f>
        <v>73.957061409999994</v>
      </c>
    </row>
    <row r="10" spans="1:7">
      <c r="A10" s="49" t="s">
        <v>25</v>
      </c>
      <c r="B10" s="50">
        <v>2004</v>
      </c>
      <c r="C10" s="49" t="s">
        <v>6</v>
      </c>
      <c r="D10" s="50">
        <f>1952393460/100000000</f>
        <v>19.5239346</v>
      </c>
      <c r="E10" s="50">
        <f>1726726275/100000000</f>
        <v>17.26726275</v>
      </c>
      <c r="F10" s="50">
        <f>803345362/100000000</f>
        <v>8.0334536199999995</v>
      </c>
      <c r="G10" s="50">
        <f>803352749/100000000</f>
        <v>8.0335274900000009</v>
      </c>
    </row>
    <row r="11" spans="1:7">
      <c r="A11" s="49" t="s">
        <v>25</v>
      </c>
      <c r="B11" s="50">
        <v>2004</v>
      </c>
      <c r="C11" s="49" t="s">
        <v>7</v>
      </c>
      <c r="D11" s="50">
        <f>2064646968/100000000</f>
        <v>20.646469679999999</v>
      </c>
      <c r="E11" s="50">
        <f>1841678782/100000000</f>
        <v>18.41678782</v>
      </c>
      <c r="F11" s="50">
        <f>841591676/100000000</f>
        <v>8.41591676</v>
      </c>
      <c r="G11" s="50">
        <f>841906883/100000000</f>
        <v>8.4190688300000005</v>
      </c>
    </row>
    <row r="12" spans="1:7">
      <c r="A12" s="49" t="s">
        <v>25</v>
      </c>
      <c r="B12" s="50">
        <v>2004</v>
      </c>
      <c r="C12" s="49" t="s">
        <v>8</v>
      </c>
      <c r="D12" s="50">
        <f>2149970041/100000000</f>
        <v>21.499700409999999</v>
      </c>
      <c r="E12" s="50">
        <f>1864698072/100000000</f>
        <v>18.646980719999998</v>
      </c>
      <c r="F12" s="50">
        <f>868679575/100000000</f>
        <v>8.6867957499999999</v>
      </c>
      <c r="G12" s="50">
        <f>869034856/100000000</f>
        <v>8.6903485600000003</v>
      </c>
    </row>
    <row r="13" spans="1:7">
      <c r="A13" s="49" t="s">
        <v>25</v>
      </c>
      <c r="B13" s="50">
        <v>2004</v>
      </c>
      <c r="C13" s="49" t="s">
        <v>9</v>
      </c>
      <c r="D13" s="50">
        <f>2201131307/100000000</f>
        <v>22.01131307</v>
      </c>
      <c r="E13" s="50">
        <f>1876600204/100000000</f>
        <v>18.76600204</v>
      </c>
      <c r="F13" s="50">
        <f>892322791/100000000</f>
        <v>8.9232279099999996</v>
      </c>
      <c r="G13" s="50">
        <f>892493381/100000000</f>
        <v>8.9249338100000006</v>
      </c>
    </row>
    <row r="14" spans="1:7">
      <c r="A14" s="49" t="s">
        <v>25</v>
      </c>
      <c r="B14" s="50">
        <v>2005</v>
      </c>
      <c r="C14" s="49" t="s">
        <v>6</v>
      </c>
      <c r="D14" s="50">
        <f>1930926813/100000000</f>
        <v>19.30926813</v>
      </c>
      <c r="E14" s="50">
        <f>1578590755/100000000</f>
        <v>15.785907549999999</v>
      </c>
      <c r="F14" s="50">
        <f>1072701977/100000000</f>
        <v>10.72701977</v>
      </c>
      <c r="G14" s="50">
        <f>1073188553/100000000</f>
        <v>10.73188553</v>
      </c>
    </row>
    <row r="15" spans="1:7">
      <c r="A15" s="49" t="s">
        <v>25</v>
      </c>
      <c r="B15" s="50">
        <v>2005</v>
      </c>
      <c r="C15" s="49" t="s">
        <v>7</v>
      </c>
      <c r="D15" s="50">
        <f>2021113785/100000000</f>
        <v>20.21113785</v>
      </c>
      <c r="E15" s="50">
        <f>1708012547/100000000</f>
        <v>17.080125469999999</v>
      </c>
      <c r="F15" s="50">
        <f>1125103153/100000000</f>
        <v>11.251031530000001</v>
      </c>
      <c r="G15" s="50">
        <f>1125870765/100000000</f>
        <v>11.25870765</v>
      </c>
    </row>
    <row r="16" spans="1:7">
      <c r="A16" s="49" t="s">
        <v>25</v>
      </c>
      <c r="B16" s="50">
        <v>2005</v>
      </c>
      <c r="C16" s="49" t="s">
        <v>8</v>
      </c>
      <c r="D16" s="50">
        <f>1968101413/100000000</f>
        <v>19.681014130000001</v>
      </c>
      <c r="E16" s="50">
        <f>1672707775/100000000</f>
        <v>16.727077749999999</v>
      </c>
      <c r="F16" s="50">
        <f>1112389652/100000000</f>
        <v>11.123896520000001</v>
      </c>
      <c r="G16" s="50">
        <f>1113118312/100000000</f>
        <v>11.131183119999999</v>
      </c>
    </row>
    <row r="17" spans="1:7">
      <c r="A17" s="49" t="s">
        <v>25</v>
      </c>
      <c r="B17" s="50">
        <v>2005</v>
      </c>
      <c r="C17" s="49" t="s">
        <v>9</v>
      </c>
      <c r="D17" s="50">
        <f>1977518887/100000000</f>
        <v>19.775188870000001</v>
      </c>
      <c r="E17" s="50">
        <f>1759900135/100000000</f>
        <v>17.599001350000002</v>
      </c>
      <c r="F17" s="50">
        <f>1084723081/100000000</f>
        <v>10.847230809999999</v>
      </c>
      <c r="G17" s="50">
        <f>1085857588/100000000</f>
        <v>10.85857588</v>
      </c>
    </row>
    <row r="18" spans="1:7">
      <c r="A18" s="49" t="s">
        <v>26</v>
      </c>
      <c r="B18" s="50">
        <v>2004</v>
      </c>
      <c r="C18" s="49" t="s">
        <v>6</v>
      </c>
      <c r="D18" s="50">
        <f>12443031643/100000000</f>
        <v>124.43031643</v>
      </c>
      <c r="E18" s="50">
        <f>11078843276/100000000</f>
        <v>110.78843276000001</v>
      </c>
      <c r="F18" s="50">
        <f>4552564208/100000000</f>
        <v>45.525642079999997</v>
      </c>
      <c r="G18" s="50">
        <f>4552624459/100000000</f>
        <v>45.526244589999997</v>
      </c>
    </row>
    <row r="19" spans="1:7">
      <c r="A19" s="49" t="s">
        <v>26</v>
      </c>
      <c r="B19" s="50">
        <v>2004</v>
      </c>
      <c r="C19" s="49" t="s">
        <v>7</v>
      </c>
      <c r="D19" s="50">
        <f>13046335065/100000000</f>
        <v>130.46335065</v>
      </c>
      <c r="E19" s="50">
        <f>11441500174/100000000</f>
        <v>114.41500173999999</v>
      </c>
      <c r="F19" s="50">
        <f>4638592418/100000000</f>
        <v>46.385924180000004</v>
      </c>
      <c r="G19" s="50">
        <f>4638847302/100000000</f>
        <v>46.388473019999999</v>
      </c>
    </row>
    <row r="20" spans="1:7">
      <c r="A20" s="49" t="s">
        <v>26</v>
      </c>
      <c r="B20" s="50">
        <v>2004</v>
      </c>
      <c r="C20" s="49" t="s">
        <v>8</v>
      </c>
      <c r="D20" s="50">
        <f>13625138709/100000000</f>
        <v>136.25138709000001</v>
      </c>
      <c r="E20" s="50">
        <f>11627455210/100000000</f>
        <v>116.27455209999999</v>
      </c>
      <c r="F20" s="50">
        <f>4780796964/100000000</f>
        <v>47.807969640000003</v>
      </c>
      <c r="G20" s="50">
        <f>4781788496/100000000</f>
        <v>47.817884960000001</v>
      </c>
    </row>
    <row r="21" spans="1:7">
      <c r="A21" s="49" t="s">
        <v>26</v>
      </c>
      <c r="B21" s="50">
        <v>2004</v>
      </c>
      <c r="C21" s="49" t="s">
        <v>9</v>
      </c>
      <c r="D21" s="50">
        <f>13926876420/100000000</f>
        <v>139.26876419999999</v>
      </c>
      <c r="E21" s="50">
        <f>11768625659/100000000</f>
        <v>117.68625659</v>
      </c>
      <c r="F21" s="50">
        <f>4962390071/100000000</f>
        <v>49.623900710000001</v>
      </c>
      <c r="G21" s="50">
        <f>4963379695/100000000</f>
        <v>49.633796949999997</v>
      </c>
    </row>
    <row r="22" spans="1:7">
      <c r="A22" s="49" t="s">
        <v>26</v>
      </c>
      <c r="B22" s="50">
        <v>2005</v>
      </c>
      <c r="C22" s="49" t="s">
        <v>6</v>
      </c>
      <c r="D22" s="50">
        <f>12251363063/100000000</f>
        <v>122.51363062999999</v>
      </c>
      <c r="E22" s="50">
        <f>9971230829/100000000</f>
        <v>99.712308289999996</v>
      </c>
      <c r="F22" s="50">
        <f>6122089363/100000000</f>
        <v>61.220893629999999</v>
      </c>
      <c r="G22" s="50">
        <f>6122822668/100000000</f>
        <v>61.228226679999999</v>
      </c>
    </row>
    <row r="23" spans="1:7">
      <c r="A23" s="49" t="s">
        <v>26</v>
      </c>
      <c r="B23" s="50">
        <v>2005</v>
      </c>
      <c r="C23" s="49" t="s">
        <v>7</v>
      </c>
      <c r="D23" s="50">
        <f>12690562831/100000000</f>
        <v>126.90562831</v>
      </c>
      <c r="E23" s="50">
        <f>10591791248/100000000</f>
        <v>105.91791248</v>
      </c>
      <c r="F23" s="50">
        <f>6175548478/100000000</f>
        <v>61.755484780000003</v>
      </c>
      <c r="G23" s="50">
        <f>6176803490/100000000</f>
        <v>61.768034900000004</v>
      </c>
    </row>
    <row r="24" spans="1:7">
      <c r="A24" s="49" t="s">
        <v>26</v>
      </c>
      <c r="B24" s="50">
        <v>2005</v>
      </c>
      <c r="C24" s="49" t="s">
        <v>8</v>
      </c>
      <c r="D24" s="50">
        <f>12436834688/100000000</f>
        <v>124.36834688</v>
      </c>
      <c r="E24" s="50">
        <f>10690292527/100000000</f>
        <v>106.90292527</v>
      </c>
      <c r="F24" s="50">
        <f>6108888331/100000000</f>
        <v>61.08888331</v>
      </c>
      <c r="G24" s="50">
        <f>6110307488/100000000</f>
        <v>61.103074880000001</v>
      </c>
    </row>
    <row r="25" spans="1:7">
      <c r="A25" s="49" t="s">
        <v>26</v>
      </c>
      <c r="B25" s="50">
        <v>2005</v>
      </c>
      <c r="C25" s="49" t="s">
        <v>9</v>
      </c>
      <c r="D25" s="50">
        <f>12625849362/100000000</f>
        <v>126.25849362</v>
      </c>
      <c r="E25" s="50">
        <f>10839924493/100000000</f>
        <v>108.39924492999999</v>
      </c>
      <c r="F25" s="50">
        <f>6198119541/100000000</f>
        <v>61.981195409999998</v>
      </c>
      <c r="G25" s="50">
        <f>6199519587/100000000</f>
        <v>61.995195870000003</v>
      </c>
    </row>
    <row r="26" spans="1:7">
      <c r="A26" s="49" t="s">
        <v>27</v>
      </c>
      <c r="B26" s="50">
        <v>2004</v>
      </c>
      <c r="C26" s="49" t="s">
        <v>6</v>
      </c>
      <c r="D26" s="50">
        <f>10439392801/100000000</f>
        <v>104.39392801</v>
      </c>
      <c r="E26" s="50">
        <f>8833984124/100000000</f>
        <v>88.339841239999998</v>
      </c>
      <c r="F26" s="50">
        <f>3945910987/100000000</f>
        <v>39.459109869999999</v>
      </c>
      <c r="G26" s="50">
        <f>3946376142/100000000</f>
        <v>39.463761419999997</v>
      </c>
    </row>
    <row r="27" spans="1:7">
      <c r="A27" s="49" t="s">
        <v>27</v>
      </c>
      <c r="B27" s="50">
        <v>2004</v>
      </c>
      <c r="C27" s="49" t="s">
        <v>7</v>
      </c>
      <c r="D27" s="50">
        <f>10805058827/100000000</f>
        <v>108.05058827000001</v>
      </c>
      <c r="E27" s="50">
        <f>9342832843/100000000</f>
        <v>93.428328429999993</v>
      </c>
      <c r="F27" s="50">
        <f>3911881791/100000000</f>
        <v>39.118817909999997</v>
      </c>
      <c r="G27" s="50">
        <f>3912551404/100000000</f>
        <v>39.125514039999999</v>
      </c>
    </row>
    <row r="28" spans="1:7">
      <c r="A28" s="49" t="s">
        <v>27</v>
      </c>
      <c r="B28" s="50">
        <v>2004</v>
      </c>
      <c r="C28" s="49" t="s">
        <v>8</v>
      </c>
      <c r="D28" s="50">
        <f>10863964921/100000000</f>
        <v>108.63964921</v>
      </c>
      <c r="E28" s="50">
        <f>9634237183/100000000</f>
        <v>96.342371830000005</v>
      </c>
      <c r="F28" s="50">
        <f>3667207628/100000000</f>
        <v>36.672076279999999</v>
      </c>
      <c r="G28" s="50">
        <f>3668912369/100000000</f>
        <v>36.689123690000002</v>
      </c>
    </row>
    <row r="29" spans="1:7">
      <c r="A29" s="49" t="s">
        <v>27</v>
      </c>
      <c r="B29" s="50">
        <v>2004</v>
      </c>
      <c r="C29" s="49" t="s">
        <v>9</v>
      </c>
      <c r="D29" s="50">
        <f>11370872240/100000000</f>
        <v>113.7087224</v>
      </c>
      <c r="E29" s="50">
        <f>9895684353/100000000</f>
        <v>98.95684353</v>
      </c>
      <c r="F29" s="50">
        <f>3947249846/100000000</f>
        <v>39.472498459999997</v>
      </c>
      <c r="G29" s="50">
        <f>3947815732/100000000</f>
        <v>39.478157320000001</v>
      </c>
    </row>
    <row r="30" spans="1:7">
      <c r="A30" s="49" t="s">
        <v>27</v>
      </c>
      <c r="B30" s="50">
        <v>2005</v>
      </c>
      <c r="C30" s="49" t="s">
        <v>6</v>
      </c>
      <c r="D30" s="50">
        <f>9584070335/100000000</f>
        <v>95.840703349999998</v>
      </c>
      <c r="E30" s="50">
        <f>8108154259/100000000</f>
        <v>81.081542589999998</v>
      </c>
      <c r="F30" s="50">
        <f>5009013031/100000000</f>
        <v>50.090130309999999</v>
      </c>
      <c r="G30" s="50">
        <f>5011518052/100000000</f>
        <v>50.115180520000003</v>
      </c>
    </row>
    <row r="31" spans="1:7">
      <c r="A31" s="49" t="s">
        <v>27</v>
      </c>
      <c r="B31" s="50">
        <v>2005</v>
      </c>
      <c r="C31" s="49" t="s">
        <v>7</v>
      </c>
      <c r="D31" s="50">
        <f>10125874788/100000000</f>
        <v>101.25874788</v>
      </c>
      <c r="E31" s="50">
        <f>9099084203/100000000</f>
        <v>90.990842029999996</v>
      </c>
      <c r="F31" s="50">
        <f>5081545813/100000000</f>
        <v>50.815458130000003</v>
      </c>
      <c r="G31" s="50">
        <f>5083572155/100000000</f>
        <v>50.835721550000002</v>
      </c>
    </row>
    <row r="32" spans="1:7">
      <c r="A32" s="49" t="s">
        <v>27</v>
      </c>
      <c r="B32" s="50">
        <v>2005</v>
      </c>
      <c r="C32" s="49" t="s">
        <v>8</v>
      </c>
      <c r="D32" s="50">
        <f>10069877123/100000000</f>
        <v>100.69877123000001</v>
      </c>
      <c r="E32" s="50">
        <f>8960631107/100000000</f>
        <v>89.606311070000004</v>
      </c>
      <c r="F32" s="50">
        <f>5054595010/100000000</f>
        <v>50.545950099999999</v>
      </c>
      <c r="G32" s="50">
        <f>5056043886/100000000</f>
        <v>50.560438859999998</v>
      </c>
    </row>
    <row r="33" spans="1:7">
      <c r="A33" s="49" t="s">
        <v>27</v>
      </c>
      <c r="B33" s="50">
        <v>2005</v>
      </c>
      <c r="C33" s="49" t="s">
        <v>9</v>
      </c>
      <c r="D33" s="50">
        <f>10178037162/100000000</f>
        <v>101.78037162</v>
      </c>
      <c r="E33" s="50">
        <f>9004197693/100000000</f>
        <v>90.041976930000004</v>
      </c>
      <c r="F33" s="50">
        <f>5092501019/100000000</f>
        <v>50.925010190000002</v>
      </c>
      <c r="G33" s="50">
        <f>5094455010/100000000</f>
        <v>50.944550100000001</v>
      </c>
    </row>
    <row r="34" spans="1:7">
      <c r="A34" s="49" t="s">
        <v>28</v>
      </c>
      <c r="B34" s="50">
        <v>2004</v>
      </c>
      <c r="C34" s="49" t="s">
        <v>6</v>
      </c>
      <c r="D34" s="50">
        <f>10282191806/100000000</f>
        <v>102.82191806</v>
      </c>
      <c r="E34" s="50">
        <f>9087619130/100000000</f>
        <v>90.876191300000002</v>
      </c>
      <c r="F34" s="50">
        <f>4006284971/100000000</f>
        <v>40.062849710000002</v>
      </c>
      <c r="G34" s="50">
        <f>4010187522/100000000</f>
        <v>40.101875219999997</v>
      </c>
    </row>
    <row r="35" spans="1:7">
      <c r="A35" s="49" t="s">
        <v>28</v>
      </c>
      <c r="B35" s="50">
        <v>2004</v>
      </c>
      <c r="C35" s="49" t="s">
        <v>7</v>
      </c>
      <c r="D35" s="50">
        <f>10737274055/100000000</f>
        <v>107.37274055</v>
      </c>
      <c r="E35" s="50">
        <f>9704239597/100000000</f>
        <v>97.042395970000001</v>
      </c>
      <c r="F35" s="50">
        <f>4103336317/100000000</f>
        <v>41.033363170000001</v>
      </c>
      <c r="G35" s="50">
        <f>4106696165/100000000</f>
        <v>41.066961650000003</v>
      </c>
    </row>
    <row r="36" spans="1:7">
      <c r="A36" s="49" t="s">
        <v>28</v>
      </c>
      <c r="B36" s="50">
        <v>2004</v>
      </c>
      <c r="C36" s="49" t="s">
        <v>8</v>
      </c>
      <c r="D36" s="50">
        <f>10898079994/100000000</f>
        <v>108.98079994</v>
      </c>
      <c r="E36" s="50">
        <f>9741714729/100000000</f>
        <v>97.417147290000003</v>
      </c>
      <c r="F36" s="50">
        <f>3916275612/100000000</f>
        <v>39.162756119999997</v>
      </c>
      <c r="G36" s="50">
        <f>3923461451/100000000</f>
        <v>39.23461451</v>
      </c>
    </row>
    <row r="37" spans="1:7">
      <c r="A37" s="49" t="s">
        <v>28</v>
      </c>
      <c r="B37" s="50">
        <v>2004</v>
      </c>
      <c r="C37" s="49" t="s">
        <v>9</v>
      </c>
      <c r="D37" s="50">
        <f>11306227427/100000000</f>
        <v>113.06227427</v>
      </c>
      <c r="E37" s="50">
        <f>9901539281/100000000</f>
        <v>99.015392809999994</v>
      </c>
      <c r="F37" s="50">
        <f>4081747734/100000000</f>
        <v>40.817477340000003</v>
      </c>
      <c r="G37" s="50">
        <f>4089984131/100000000</f>
        <v>40.899841309999999</v>
      </c>
    </row>
    <row r="38" spans="1:7">
      <c r="A38" s="49" t="s">
        <v>28</v>
      </c>
      <c r="B38" s="50">
        <v>2005</v>
      </c>
      <c r="C38" s="49" t="s">
        <v>6</v>
      </c>
      <c r="D38" s="50">
        <f>10209041591/100000000</f>
        <v>102.09041591</v>
      </c>
      <c r="E38" s="50">
        <f>8924255006/100000000</f>
        <v>89.242550059999999</v>
      </c>
      <c r="F38" s="50">
        <f>5191058017/100000000</f>
        <v>51.910580170000003</v>
      </c>
      <c r="G38" s="50">
        <f>5197137373/100000000</f>
        <v>51.971373730000003</v>
      </c>
    </row>
    <row r="39" spans="1:7">
      <c r="A39" s="49" t="s">
        <v>28</v>
      </c>
      <c r="B39" s="50">
        <v>2005</v>
      </c>
      <c r="C39" s="49" t="s">
        <v>7</v>
      </c>
      <c r="D39" s="50">
        <f>10434158102/100000000</f>
        <v>104.34158102000001</v>
      </c>
      <c r="E39" s="50">
        <f>9512550453/100000000</f>
        <v>95.125504530000001</v>
      </c>
      <c r="F39" s="50">
        <f>5189611018/100000000</f>
        <v>51.896110180000001</v>
      </c>
      <c r="G39" s="50">
        <f>5195848413/100000000</f>
        <v>51.958484130000002</v>
      </c>
    </row>
    <row r="40" spans="1:7">
      <c r="A40" s="49" t="s">
        <v>28</v>
      </c>
      <c r="B40" s="50">
        <v>2005</v>
      </c>
      <c r="C40" s="49" t="s">
        <v>8</v>
      </c>
      <c r="D40" s="50">
        <f>10229181737/100000000</f>
        <v>102.29181737</v>
      </c>
      <c r="E40" s="50">
        <f>9325030135/100000000</f>
        <v>93.250301350000001</v>
      </c>
      <c r="F40" s="50">
        <f>5119145799/100000000</f>
        <v>51.191457990000004</v>
      </c>
      <c r="G40" s="50">
        <f>5130490621/100000000</f>
        <v>51.304906209999999</v>
      </c>
    </row>
    <row r="41" spans="1:7">
      <c r="A41" s="49" t="s">
        <v>28</v>
      </c>
      <c r="B41" s="50">
        <v>2005</v>
      </c>
      <c r="C41" s="49" t="s">
        <v>9</v>
      </c>
      <c r="D41" s="50">
        <f>10320206615/100000000</f>
        <v>103.20206614999999</v>
      </c>
      <c r="E41" s="50">
        <f>9516119047/100000000</f>
        <v>95.161190469999994</v>
      </c>
      <c r="F41" s="50">
        <f>5208950858/100000000</f>
        <v>52.08950858</v>
      </c>
      <c r="G41" s="50">
        <f>5219930059/100000000</f>
        <v>52.19930059</v>
      </c>
    </row>
    <row r="42" spans="1:7">
      <c r="A42" s="49" t="s">
        <v>29</v>
      </c>
      <c r="B42" s="50">
        <v>2004</v>
      </c>
      <c r="C42" s="49" t="s">
        <v>6</v>
      </c>
      <c r="D42" s="50">
        <f>22527337877/100000000</f>
        <v>225.27337876999999</v>
      </c>
      <c r="E42" s="50">
        <f>19505059463/100000000</f>
        <v>195.05059463000001</v>
      </c>
      <c r="F42" s="50">
        <f>9706712715/100000000</f>
        <v>97.067127150000005</v>
      </c>
      <c r="G42" s="50">
        <f>9706732854/100000000</f>
        <v>97.067328540000005</v>
      </c>
    </row>
    <row r="43" spans="1:7">
      <c r="A43" s="49" t="s">
        <v>29</v>
      </c>
      <c r="B43" s="50">
        <v>2004</v>
      </c>
      <c r="C43" s="49" t="s">
        <v>7</v>
      </c>
      <c r="D43" s="50">
        <f>24290342720/100000000</f>
        <v>242.90342720000001</v>
      </c>
      <c r="E43" s="50">
        <f>20653950704/100000000</f>
        <v>206.53950703999999</v>
      </c>
      <c r="F43" s="50">
        <f>10292875900/100000000</f>
        <v>102.928759</v>
      </c>
      <c r="G43" s="50">
        <f>10292954252/100000000</f>
        <v>102.92954252</v>
      </c>
    </row>
    <row r="44" spans="1:7">
      <c r="A44" s="49" t="s">
        <v>29</v>
      </c>
      <c r="B44" s="50">
        <v>2004</v>
      </c>
      <c r="C44" s="49" t="s">
        <v>8</v>
      </c>
      <c r="D44" s="50">
        <f>24905572587/100000000</f>
        <v>249.05572587</v>
      </c>
      <c r="E44" s="50">
        <f>22541530071/100000000</f>
        <v>225.41530071</v>
      </c>
      <c r="F44" s="50">
        <f>9754032486/100000000</f>
        <v>97.540324859999998</v>
      </c>
      <c r="G44" s="50">
        <f>9754498258/100000000</f>
        <v>97.544982579999996</v>
      </c>
    </row>
    <row r="45" spans="1:7">
      <c r="A45" s="49" t="s">
        <v>29</v>
      </c>
      <c r="B45" s="50">
        <v>2004</v>
      </c>
      <c r="C45" s="49" t="s">
        <v>9</v>
      </c>
      <c r="D45" s="50">
        <f>25667073862/100000000</f>
        <v>256.67073862000001</v>
      </c>
      <c r="E45" s="50">
        <f>22726624142/100000000</f>
        <v>227.26624142</v>
      </c>
      <c r="F45" s="50">
        <f>10403380515/100000000</f>
        <v>104.03380515000001</v>
      </c>
      <c r="G45" s="50">
        <f>10404479147/100000000</f>
        <v>104.04479147000001</v>
      </c>
    </row>
    <row r="46" spans="1:7">
      <c r="A46" s="49" t="s">
        <v>29</v>
      </c>
      <c r="B46" s="50">
        <v>2005</v>
      </c>
      <c r="C46" s="49" t="s">
        <v>6</v>
      </c>
      <c r="D46" s="50">
        <f>21687690914/100000000</f>
        <v>216.87690914000001</v>
      </c>
      <c r="E46" s="50">
        <f>18545665008/100000000</f>
        <v>185.45665008</v>
      </c>
      <c r="F46" s="50">
        <f>11967399923/100000000</f>
        <v>119.67399923000001</v>
      </c>
      <c r="G46" s="50">
        <f>11968737590/100000000</f>
        <v>119.68737590000001</v>
      </c>
    </row>
    <row r="47" spans="1:7">
      <c r="A47" s="49" t="s">
        <v>29</v>
      </c>
      <c r="B47" s="50">
        <v>2005</v>
      </c>
      <c r="C47" s="49" t="s">
        <v>7</v>
      </c>
      <c r="D47" s="50">
        <f>23042921377/100000000</f>
        <v>230.42921376999999</v>
      </c>
      <c r="E47" s="50">
        <f>19997269652/100000000</f>
        <v>199.97269652</v>
      </c>
      <c r="F47" s="50">
        <f>12368012064/100000000</f>
        <v>123.68012064</v>
      </c>
      <c r="G47" s="50">
        <f>12368359274/100000000</f>
        <v>123.68359273999999</v>
      </c>
    </row>
    <row r="48" spans="1:7">
      <c r="A48" s="49" t="s">
        <v>29</v>
      </c>
      <c r="B48" s="50">
        <v>2005</v>
      </c>
      <c r="C48" s="49" t="s">
        <v>8</v>
      </c>
      <c r="D48" s="50">
        <f>22505874239/100000000</f>
        <v>225.05874238999999</v>
      </c>
      <c r="E48" s="50">
        <f>19580976904/100000000</f>
        <v>195.80976903999999</v>
      </c>
      <c r="F48" s="50">
        <f>12076004153/100000000</f>
        <v>120.76004153</v>
      </c>
      <c r="G48" s="50">
        <f>12076004153/100000000</f>
        <v>120.76004153</v>
      </c>
    </row>
    <row r="49" spans="1:7">
      <c r="A49" s="49" t="s">
        <v>29</v>
      </c>
      <c r="B49" s="50">
        <v>2005</v>
      </c>
      <c r="C49" s="49" t="s">
        <v>9</v>
      </c>
      <c r="D49" s="50">
        <f>22678635872/100000000</f>
        <v>226.78635872000001</v>
      </c>
      <c r="E49" s="50">
        <f>19632005226/100000000</f>
        <v>196.32005226000001</v>
      </c>
      <c r="F49" s="50">
        <f>12301435507/100000000</f>
        <v>123.01435506999999</v>
      </c>
      <c r="G49" s="50">
        <f>12301580428/100000000</f>
        <v>123.01580428</v>
      </c>
    </row>
    <row r="50" spans="1:7">
      <c r="A50" s="57">
        <v>1</v>
      </c>
      <c r="B50" s="58">
        <v>2006</v>
      </c>
      <c r="C50" s="58" t="s">
        <v>6</v>
      </c>
      <c r="D50" s="58">
        <f>21592291408/100000000</f>
        <v>215.92291408</v>
      </c>
      <c r="E50" s="58">
        <f>18909225142/100000000</f>
        <v>189.09225142</v>
      </c>
      <c r="F50" s="58">
        <f>11932229207/100000000</f>
        <v>119.32229207</v>
      </c>
      <c r="G50" s="59">
        <f>11932366960/100000000</f>
        <v>119.3236696</v>
      </c>
    </row>
    <row r="51" spans="1:7">
      <c r="A51" s="57">
        <v>2</v>
      </c>
      <c r="B51" s="58">
        <v>2006</v>
      </c>
      <c r="C51" s="58" t="s">
        <v>6</v>
      </c>
      <c r="D51" s="58">
        <f>9724145456/100000000</f>
        <v>97.241454559999994</v>
      </c>
      <c r="E51" s="58">
        <f>9025971494/100000000</f>
        <v>90.259714939999995</v>
      </c>
      <c r="F51" s="58">
        <f>5002544296/100000000</f>
        <v>50.025442959999999</v>
      </c>
      <c r="G51" s="59">
        <f>5001101543/100000000</f>
        <v>50.01101543</v>
      </c>
    </row>
    <row r="52" spans="1:7">
      <c r="A52" s="57">
        <v>3</v>
      </c>
      <c r="B52" s="58">
        <v>2006</v>
      </c>
      <c r="C52" s="58" t="s">
        <v>6</v>
      </c>
      <c r="D52" s="58">
        <f>14312208359/100000000</f>
        <v>143.12208358999999</v>
      </c>
      <c r="E52" s="58">
        <f>12513363296/100000000</f>
        <v>125.13363296</v>
      </c>
      <c r="F52" s="58">
        <f>7270980929/100000000</f>
        <v>72.709809289999995</v>
      </c>
      <c r="G52" s="59">
        <f>7271060608/100000000</f>
        <v>72.710606080000005</v>
      </c>
    </row>
    <row r="53" spans="1:7">
      <c r="A53" s="57">
        <v>4</v>
      </c>
      <c r="B53" s="58">
        <v>2006</v>
      </c>
      <c r="C53" s="58" t="s">
        <v>6</v>
      </c>
      <c r="D53" s="58">
        <f>10035463755/100000000</f>
        <v>100.35463755000001</v>
      </c>
      <c r="E53" s="58">
        <f>9465340547/100000000</f>
        <v>94.653405469999996</v>
      </c>
      <c r="F53" s="58">
        <f>5124192003/100000000</f>
        <v>51.241920030000003</v>
      </c>
      <c r="G53" s="59">
        <f>5125082192/100000000</f>
        <v>51.25082192</v>
      </c>
    </row>
    <row r="54" spans="1:7">
      <c r="A54" s="57">
        <v>5</v>
      </c>
      <c r="B54" s="58">
        <v>2006</v>
      </c>
      <c r="C54" s="58" t="s">
        <v>6</v>
      </c>
      <c r="D54" s="58">
        <f>12056409342/100000000</f>
        <v>120.56409342000001</v>
      </c>
      <c r="E54" s="58">
        <f>10992657440/100000000</f>
        <v>109.92657440000001</v>
      </c>
      <c r="F54" s="58">
        <f>5823016785/100000000</f>
        <v>58.230167850000001</v>
      </c>
      <c r="G54" s="59">
        <f>5825395345/100000000</f>
        <v>58.253953449999997</v>
      </c>
    </row>
    <row r="55" spans="1:7" ht="15.75" thickBot="1">
      <c r="A55" s="60">
        <v>6</v>
      </c>
      <c r="B55" s="61">
        <v>2006</v>
      </c>
      <c r="C55" s="61" t="s">
        <v>6</v>
      </c>
      <c r="D55" s="61">
        <f>1938258673/100000000</f>
        <v>19.38258673</v>
      </c>
      <c r="E55" s="61">
        <f>1600929495/100000000</f>
        <v>16.009294950000001</v>
      </c>
      <c r="F55" s="61">
        <f>1103750141/100000000</f>
        <v>11.037501410000001</v>
      </c>
      <c r="G55" s="62">
        <f>1105612862/100000000</f>
        <v>11.056128620000001</v>
      </c>
    </row>
    <row r="56" spans="1:7">
      <c r="A56" s="76">
        <v>1</v>
      </c>
      <c r="B56" s="77">
        <v>2006</v>
      </c>
      <c r="C56" s="77" t="s">
        <v>7</v>
      </c>
      <c r="D56" s="77">
        <v>230.72315605</v>
      </c>
      <c r="E56" s="77">
        <v>204.94319440999999</v>
      </c>
      <c r="F56" s="77">
        <v>127.36993074999999</v>
      </c>
      <c r="G56" s="78">
        <v>127.36500789999999</v>
      </c>
    </row>
    <row r="57" spans="1:7">
      <c r="A57" s="76">
        <v>2</v>
      </c>
      <c r="B57" s="77">
        <v>2006</v>
      </c>
      <c r="C57" s="77" t="s">
        <v>7</v>
      </c>
      <c r="D57" s="77">
        <v>101.97006114</v>
      </c>
      <c r="E57" s="77">
        <v>97.266390479999998</v>
      </c>
      <c r="F57" s="77">
        <v>51.808148330000002</v>
      </c>
      <c r="G57" s="78">
        <v>51.739933129999997</v>
      </c>
    </row>
    <row r="58" spans="1:7">
      <c r="A58" s="76">
        <v>3</v>
      </c>
      <c r="B58" s="77">
        <v>2006</v>
      </c>
      <c r="C58" s="77" t="s">
        <v>7</v>
      </c>
      <c r="D58" s="77">
        <v>148.51454376999999</v>
      </c>
      <c r="E58" s="77">
        <v>134.99562797999999</v>
      </c>
      <c r="F58" s="77">
        <v>75.255893610000001</v>
      </c>
      <c r="G58" s="78">
        <v>75.094721160000006</v>
      </c>
    </row>
    <row r="59" spans="1:7">
      <c r="A59" s="69">
        <v>4</v>
      </c>
      <c r="B59" s="70">
        <v>2006</v>
      </c>
      <c r="C59" s="70" t="s">
        <v>7</v>
      </c>
      <c r="D59" s="70">
        <v>103.11026974000001</v>
      </c>
      <c r="E59" s="70">
        <v>99.198241589999995</v>
      </c>
      <c r="F59" s="70">
        <v>53.374099909999998</v>
      </c>
      <c r="G59" s="71">
        <v>52.705372629999999</v>
      </c>
    </row>
    <row r="60" spans="1:7">
      <c r="A60" s="69">
        <v>5</v>
      </c>
      <c r="B60" s="70">
        <v>2006</v>
      </c>
      <c r="C60" s="70" t="s">
        <v>7</v>
      </c>
      <c r="D60" s="70">
        <v>123.76913168999999</v>
      </c>
      <c r="E60" s="70">
        <v>115.65377383000001</v>
      </c>
      <c r="F60" s="70">
        <v>59.542235550000001</v>
      </c>
      <c r="G60" s="71">
        <v>59.535526269999998</v>
      </c>
    </row>
    <row r="61" spans="1:7" ht="15.75" thickBot="1">
      <c r="A61" s="72">
        <v>6</v>
      </c>
      <c r="B61" s="73">
        <v>2006</v>
      </c>
      <c r="C61" s="73" t="s">
        <v>7</v>
      </c>
      <c r="D61" s="73">
        <v>19.75658099</v>
      </c>
      <c r="E61" s="73">
        <v>17.316428720000001</v>
      </c>
      <c r="F61" s="73">
        <v>11.17652352</v>
      </c>
      <c r="G61" s="74">
        <v>11.16589033</v>
      </c>
    </row>
    <row r="62" spans="1:7" ht="15.75">
      <c r="A62" s="1" t="s">
        <v>222</v>
      </c>
      <c r="B62" s="79" t="s">
        <v>0</v>
      </c>
      <c r="C62" s="79" t="s">
        <v>1</v>
      </c>
      <c r="D62" s="79" t="s">
        <v>2</v>
      </c>
      <c r="E62" s="79" t="s">
        <v>3</v>
      </c>
      <c r="F62" s="79" t="s">
        <v>4</v>
      </c>
      <c r="G62" s="80" t="s">
        <v>5</v>
      </c>
    </row>
    <row r="63" spans="1:7">
      <c r="A63" s="57">
        <v>1</v>
      </c>
      <c r="B63" s="58">
        <v>2006</v>
      </c>
      <c r="C63" s="58" t="s">
        <v>8</v>
      </c>
      <c r="D63" s="58">
        <v>228.42414832</v>
      </c>
      <c r="E63" s="58">
        <v>198.07402060999999</v>
      </c>
      <c r="F63" s="58">
        <v>127.68875645999999</v>
      </c>
      <c r="G63" s="59">
        <v>127.67623718</v>
      </c>
    </row>
    <row r="64" spans="1:7">
      <c r="A64" s="57">
        <v>2</v>
      </c>
      <c r="B64" s="58">
        <v>2006</v>
      </c>
      <c r="C64" s="58" t="s">
        <v>8</v>
      </c>
      <c r="D64" s="58">
        <v>102.74980956</v>
      </c>
      <c r="E64" s="58">
        <v>96.142458500000004</v>
      </c>
      <c r="F64" s="58">
        <v>52.577685320000001</v>
      </c>
      <c r="G64" s="59">
        <v>52.512702410000003</v>
      </c>
    </row>
    <row r="65" spans="1:7">
      <c r="A65" s="57">
        <v>3</v>
      </c>
      <c r="B65" s="58">
        <v>2006</v>
      </c>
      <c r="C65" s="58" t="s">
        <v>8</v>
      </c>
      <c r="D65" s="58">
        <v>146.94514838000001</v>
      </c>
      <c r="E65" s="58">
        <v>131.73332016000001</v>
      </c>
      <c r="F65" s="58">
        <v>75.676153690000007</v>
      </c>
      <c r="G65" s="59">
        <v>75.553950349999994</v>
      </c>
    </row>
    <row r="66" spans="1:7">
      <c r="A66" s="57">
        <v>4</v>
      </c>
      <c r="B66" s="58">
        <v>2006</v>
      </c>
      <c r="C66" s="58" t="s">
        <v>8</v>
      </c>
      <c r="D66" s="58">
        <v>103.81093528</v>
      </c>
      <c r="E66" s="58">
        <v>96.552682309999994</v>
      </c>
      <c r="F66" s="58">
        <v>54.202337649999997</v>
      </c>
      <c r="G66" s="59">
        <v>53.439054169999999</v>
      </c>
    </row>
    <row r="67" spans="1:7">
      <c r="A67" s="57">
        <v>5</v>
      </c>
      <c r="B67" s="58">
        <v>2006</v>
      </c>
      <c r="C67" s="58" t="s">
        <v>8</v>
      </c>
      <c r="D67" s="58">
        <v>123.03282573</v>
      </c>
      <c r="E67" s="58">
        <v>114.36084649999999</v>
      </c>
      <c r="F67" s="58">
        <v>59.627788619999997</v>
      </c>
      <c r="G67" s="59">
        <v>59.599541350000003</v>
      </c>
    </row>
    <row r="68" spans="1:7" ht="15.75" thickBot="1">
      <c r="A68" s="60">
        <v>6</v>
      </c>
      <c r="B68" s="61">
        <v>2006</v>
      </c>
      <c r="C68" s="61" t="s">
        <v>8</v>
      </c>
      <c r="D68" s="61">
        <v>19.947023309999999</v>
      </c>
      <c r="E68" s="61">
        <v>16.826840369999999</v>
      </c>
      <c r="F68" s="61">
        <v>11.2900293</v>
      </c>
      <c r="G68" s="62">
        <v>11.24784109</v>
      </c>
    </row>
    <row r="69" spans="1:7" ht="15.75">
      <c r="A69" s="1" t="s">
        <v>23</v>
      </c>
      <c r="B69" s="79" t="s">
        <v>0</v>
      </c>
      <c r="C69" s="79" t="s">
        <v>1</v>
      </c>
      <c r="D69" s="79" t="s">
        <v>2</v>
      </c>
      <c r="E69" s="79" t="s">
        <v>3</v>
      </c>
      <c r="F69" s="79" t="s">
        <v>4</v>
      </c>
      <c r="G69" s="80" t="s">
        <v>5</v>
      </c>
    </row>
    <row r="70" spans="1:7">
      <c r="A70" s="57">
        <v>1</v>
      </c>
      <c r="B70" s="58">
        <v>2006</v>
      </c>
      <c r="C70" s="58" t="s">
        <v>9</v>
      </c>
      <c r="D70" s="58">
        <v>233.28353568</v>
      </c>
      <c r="E70" s="58">
        <v>205.93229256999999</v>
      </c>
      <c r="F70" s="58">
        <v>127.92546376</v>
      </c>
      <c r="G70" s="59">
        <v>127.9191153</v>
      </c>
    </row>
    <row r="71" spans="1:7">
      <c r="A71" s="57">
        <v>2</v>
      </c>
      <c r="B71" s="58">
        <v>2006</v>
      </c>
      <c r="C71" s="58" t="s">
        <v>9</v>
      </c>
      <c r="D71" s="58">
        <v>104.29250931999999</v>
      </c>
      <c r="E71" s="58">
        <v>100.35496338999999</v>
      </c>
      <c r="F71" s="58">
        <v>52.373289389999997</v>
      </c>
      <c r="G71" s="59">
        <v>52.29581082</v>
      </c>
    </row>
    <row r="72" spans="1:7">
      <c r="A72" s="57">
        <v>3</v>
      </c>
      <c r="B72" s="58">
        <v>2006</v>
      </c>
      <c r="C72" s="58" t="s">
        <v>9</v>
      </c>
      <c r="D72" s="58">
        <v>148.12969848</v>
      </c>
      <c r="E72" s="58">
        <v>137.29846556000001</v>
      </c>
      <c r="F72" s="58">
        <v>75.675692150000003</v>
      </c>
      <c r="G72" s="59">
        <v>75.557815570000002</v>
      </c>
    </row>
    <row r="73" spans="1:7">
      <c r="A73" s="57">
        <v>4</v>
      </c>
      <c r="B73" s="58">
        <v>2006</v>
      </c>
      <c r="C73" s="58" t="s">
        <v>9</v>
      </c>
      <c r="D73" s="58">
        <v>106.49198345000001</v>
      </c>
      <c r="E73" s="58">
        <v>100.78159435000001</v>
      </c>
      <c r="F73" s="58">
        <v>54.663006160000002</v>
      </c>
      <c r="G73" s="59">
        <v>53.894401969999997</v>
      </c>
    </row>
    <row r="74" spans="1:7">
      <c r="A74" s="57">
        <v>5</v>
      </c>
      <c r="B74" s="58">
        <v>2006</v>
      </c>
      <c r="C74" s="58" t="s">
        <v>9</v>
      </c>
      <c r="D74" s="58">
        <v>126.10079482</v>
      </c>
      <c r="E74" s="58">
        <v>119.35985847000001</v>
      </c>
      <c r="F74" s="58">
        <v>60.227539729999997</v>
      </c>
      <c r="G74" s="59">
        <v>60.205383060000003</v>
      </c>
    </row>
    <row r="75" spans="1:7" ht="15.75" thickBot="1">
      <c r="A75" s="60">
        <v>6</v>
      </c>
      <c r="B75" s="61">
        <v>2006</v>
      </c>
      <c r="C75" s="61" t="s">
        <v>9</v>
      </c>
      <c r="D75" s="61">
        <v>19.932923200000001</v>
      </c>
      <c r="E75" s="61">
        <v>17.10288121</v>
      </c>
      <c r="F75" s="61">
        <v>11.08961225</v>
      </c>
      <c r="G75" s="62">
        <v>11.058202489999999</v>
      </c>
    </row>
  </sheetData>
  <phoneticPr fontId="5" type="noConversion"/>
  <printOptions horizontalCentered="1"/>
  <pageMargins left="0.35433070866141736" right="0.35433070866141736" top="0.98425196850393704" bottom="0.98425196850393704" header="0.51181102362204722" footer="0.51181102362204722"/>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Sheet6">
    <pageSetUpPr fitToPage="1"/>
  </sheetPr>
  <dimension ref="A1:S42"/>
  <sheetViews>
    <sheetView showGridLines="0" zoomScale="75" workbookViewId="0">
      <pane ySplit="1" topLeftCell="A2" activePane="bottomLeft" state="frozen"/>
      <selection sqref="A1:D1"/>
      <selection pane="bottomLeft" activeCell="R3" sqref="R3"/>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375" style="3" bestFit="1" customWidth="1"/>
    <col min="6" max="6" width="11.125" style="3" bestFit="1" customWidth="1"/>
    <col min="7" max="7" width="11.5" style="3" bestFit="1" customWidth="1"/>
    <col min="8" max="8" width="11.125" style="3" bestFit="1" customWidth="1"/>
    <col min="9" max="9" width="1.875" style="3" customWidth="1"/>
    <col min="10" max="10" width="12.375" style="3" bestFit="1" customWidth="1"/>
    <col min="11" max="11" width="11.125" style="3" bestFit="1" customWidth="1"/>
    <col min="12" max="12" width="11.5" style="3" bestFit="1" customWidth="1"/>
    <col min="13" max="13" width="11.125" style="3" bestFit="1" customWidth="1"/>
    <col min="14" max="14" width="2.25" style="3" customWidth="1"/>
    <col min="15" max="15" width="12" style="3" customWidth="1"/>
    <col min="16" max="16" width="12.625" style="3" customWidth="1"/>
    <col min="17" max="17" width="11.5" style="3" bestFit="1" customWidth="1"/>
    <col min="18" max="16384" width="8.875" style="2"/>
  </cols>
  <sheetData>
    <row r="1" spans="1:19" s="17" customFormat="1" ht="34.9" customHeight="1">
      <c r="A1" s="89" t="s">
        <v>205</v>
      </c>
      <c r="B1" s="89"/>
      <c r="C1" s="89"/>
      <c r="D1" s="89"/>
      <c r="E1" s="89"/>
      <c r="F1" s="89"/>
      <c r="G1" s="89"/>
      <c r="H1" s="89"/>
      <c r="I1" s="89"/>
      <c r="J1" s="89"/>
      <c r="K1" s="89"/>
      <c r="L1" s="89"/>
      <c r="M1" s="89"/>
      <c r="N1" s="89"/>
      <c r="O1" s="89"/>
      <c r="P1" s="89"/>
      <c r="Q1" s="89"/>
    </row>
    <row r="2" spans="1:19" s="3" customFormat="1">
      <c r="E2" s="90" t="s">
        <v>42</v>
      </c>
      <c r="F2" s="90"/>
      <c r="G2" s="90"/>
      <c r="H2" s="90"/>
      <c r="J2" s="90" t="s">
        <v>43</v>
      </c>
      <c r="K2" s="90"/>
      <c r="L2" s="90"/>
      <c r="M2" s="90"/>
      <c r="O2" s="90" t="s">
        <v>44</v>
      </c>
      <c r="P2" s="90"/>
      <c r="Q2" s="90"/>
    </row>
    <row r="3" spans="1:19" s="3" customFormat="1" ht="33">
      <c r="A3" s="4" t="s">
        <v>45</v>
      </c>
      <c r="B3" s="4" t="s">
        <v>46</v>
      </c>
      <c r="C3" s="4" t="s">
        <v>47</v>
      </c>
      <c r="E3" s="5" t="s">
        <v>218</v>
      </c>
      <c r="F3" s="6" t="s">
        <v>48</v>
      </c>
      <c r="G3" s="35" t="s">
        <v>219</v>
      </c>
      <c r="H3" s="6" t="s">
        <v>48</v>
      </c>
      <c r="J3" s="5" t="s">
        <v>218</v>
      </c>
      <c r="K3" s="6" t="s">
        <v>48</v>
      </c>
      <c r="L3" s="35" t="s">
        <v>219</v>
      </c>
      <c r="M3" s="6" t="s">
        <v>48</v>
      </c>
      <c r="O3" s="5" t="s">
        <v>220</v>
      </c>
      <c r="P3" s="35" t="s">
        <v>221</v>
      </c>
      <c r="Q3" s="35" t="s">
        <v>216</v>
      </c>
      <c r="R3" s="84"/>
    </row>
    <row r="4" spans="1:19" s="3" customFormat="1">
      <c r="A4" s="88">
        <f>buu_wk!B42</f>
        <v>2004</v>
      </c>
      <c r="B4" s="88"/>
      <c r="C4" s="88"/>
      <c r="D4" s="9"/>
      <c r="E4" s="10"/>
      <c r="F4" s="9"/>
      <c r="G4" s="9"/>
      <c r="H4" s="9"/>
      <c r="I4" s="9"/>
      <c r="J4" s="10"/>
      <c r="K4" s="9"/>
      <c r="L4" s="9"/>
      <c r="M4" s="9"/>
      <c r="N4" s="9"/>
      <c r="O4" s="10"/>
      <c r="P4" s="9"/>
      <c r="Q4" s="9"/>
    </row>
    <row r="5" spans="1:19">
      <c r="A5" s="2"/>
      <c r="B5" s="3" t="str">
        <f>buu_wk!C42</f>
        <v>Q1</v>
      </c>
      <c r="C5" s="3" t="s">
        <v>49</v>
      </c>
      <c r="D5" s="15"/>
      <c r="E5" s="65">
        <f>buu_wk!D42</f>
        <v>225.27337876999999</v>
      </c>
      <c r="F5" s="8">
        <f>E5/O5</f>
        <v>0.69886773344554287</v>
      </c>
      <c r="G5" s="65">
        <f>buu_wk!E42</f>
        <v>195.05059463000001</v>
      </c>
      <c r="H5" s="8">
        <f>G5/P5</f>
        <v>0.66771183538946688</v>
      </c>
      <c r="I5" s="16"/>
      <c r="J5" s="65">
        <f>buu_wk!F42</f>
        <v>97.067127150000005</v>
      </c>
      <c r="K5" s="8">
        <f>J5/O5</f>
        <v>0.30113226655445713</v>
      </c>
      <c r="L5" s="65">
        <f>buu_wk!G42</f>
        <v>97.067328540000005</v>
      </c>
      <c r="M5" s="8">
        <f>L5/P5</f>
        <v>0.33228816461053301</v>
      </c>
      <c r="N5" s="16"/>
      <c r="O5" s="65">
        <f>E5+J5</f>
        <v>322.34050592</v>
      </c>
      <c r="P5" s="65">
        <f>G5+L5</f>
        <v>292.11792317000004</v>
      </c>
      <c r="Q5" s="8">
        <f>P5/O5</f>
        <v>0.90624019570937586</v>
      </c>
    </row>
    <row r="6" spans="1:19">
      <c r="B6" s="3" t="str">
        <f>buu_wk!C43</f>
        <v>Q2</v>
      </c>
      <c r="C6" s="3" t="s">
        <v>49</v>
      </c>
      <c r="D6" s="15"/>
      <c r="E6" s="65">
        <f>buu_wk!D43</f>
        <v>242.90342720000001</v>
      </c>
      <c r="F6" s="8">
        <f>E6/O6</f>
        <v>0.70237368554101343</v>
      </c>
      <c r="G6" s="65">
        <f>buu_wk!E43</f>
        <v>206.53950703999999</v>
      </c>
      <c r="H6" s="8">
        <f>G6/P6</f>
        <v>0.66739955848139199</v>
      </c>
      <c r="I6" s="27"/>
      <c r="J6" s="65">
        <f>buu_wk!F43</f>
        <v>102.928759</v>
      </c>
      <c r="K6" s="8">
        <f>J6/O6</f>
        <v>0.29762631445898657</v>
      </c>
      <c r="L6" s="65">
        <f>buu_wk!G43</f>
        <v>102.92954252</v>
      </c>
      <c r="M6" s="8">
        <f>L6/P6</f>
        <v>0.33260044151860807</v>
      </c>
      <c r="N6" s="27"/>
      <c r="O6" s="65">
        <f>E6+J6</f>
        <v>345.83218620000002</v>
      </c>
      <c r="P6" s="65">
        <f>G6+L6</f>
        <v>309.46904955999997</v>
      </c>
      <c r="Q6" s="8">
        <f>P6/O6</f>
        <v>0.8948532320269037</v>
      </c>
    </row>
    <row r="7" spans="1:19">
      <c r="B7" s="3" t="str">
        <f>buu_wk!C44</f>
        <v>Q3</v>
      </c>
      <c r="C7" s="3" t="s">
        <v>49</v>
      </c>
      <c r="D7" s="15"/>
      <c r="E7" s="65">
        <f>buu_wk!D44</f>
        <v>249.05572587</v>
      </c>
      <c r="F7" s="8">
        <f>E7/O7</f>
        <v>0.71857635234284767</v>
      </c>
      <c r="G7" s="65">
        <f>buu_wk!E44</f>
        <v>225.41530071</v>
      </c>
      <c r="H7" s="8">
        <f>G7/P7</f>
        <v>0.69796601121875368</v>
      </c>
      <c r="I7" s="27"/>
      <c r="J7" s="65">
        <f>buu_wk!F44</f>
        <v>97.540324859999998</v>
      </c>
      <c r="K7" s="8">
        <f>J7/O7</f>
        <v>0.28142364765715228</v>
      </c>
      <c r="L7" s="65">
        <f>buu_wk!G44</f>
        <v>97.544982579999996</v>
      </c>
      <c r="M7" s="8">
        <f>L7/P7</f>
        <v>0.30203398878124632</v>
      </c>
      <c r="N7" s="27"/>
      <c r="O7" s="65">
        <f>E7+J7</f>
        <v>346.59605073</v>
      </c>
      <c r="P7" s="65">
        <f>G7+L7</f>
        <v>322.96028329000001</v>
      </c>
      <c r="Q7" s="8">
        <f>P7/O7</f>
        <v>0.93180601051218448</v>
      </c>
    </row>
    <row r="8" spans="1:19">
      <c r="B8" s="4" t="str">
        <f>buu_wk!C45</f>
        <v>Q4</v>
      </c>
      <c r="C8" s="4" t="s">
        <v>49</v>
      </c>
      <c r="D8" s="15"/>
      <c r="E8" s="66">
        <f>buu_wk!D45</f>
        <v>256.67073862000001</v>
      </c>
      <c r="F8" s="13">
        <f>E8/O8</f>
        <v>0.71158166164844272</v>
      </c>
      <c r="G8" s="66">
        <f>buu_wk!E45</f>
        <v>227.26624142</v>
      </c>
      <c r="H8" s="13">
        <f>G8/P8</f>
        <v>0.68596037819077293</v>
      </c>
      <c r="I8" s="27"/>
      <c r="J8" s="66">
        <f>buu_wk!F45</f>
        <v>104.03380515000001</v>
      </c>
      <c r="K8" s="13">
        <f>J8/O8</f>
        <v>0.28841833835155739</v>
      </c>
      <c r="L8" s="66">
        <f>buu_wk!G45</f>
        <v>104.04479147000001</v>
      </c>
      <c r="M8" s="13">
        <f>L8/P8</f>
        <v>0.31403962180922712</v>
      </c>
      <c r="N8" s="27"/>
      <c r="O8" s="66">
        <f>E8+J8</f>
        <v>360.70454376999999</v>
      </c>
      <c r="P8" s="66">
        <f>G8+L8</f>
        <v>331.31103288999998</v>
      </c>
      <c r="Q8" s="13">
        <f>P8/O8</f>
        <v>0.9185108383365902</v>
      </c>
    </row>
    <row r="9" spans="1:19">
      <c r="A9" s="4"/>
      <c r="B9" s="4" t="s">
        <v>50</v>
      </c>
      <c r="C9" s="4" t="s">
        <v>49</v>
      </c>
      <c r="D9" s="15"/>
      <c r="E9" s="66">
        <f>SUM(E5:E8)</f>
        <v>973.90327046000016</v>
      </c>
      <c r="F9" s="13">
        <f>E9/O9</f>
        <v>0.7080495709612854</v>
      </c>
      <c r="G9" s="66">
        <f>SUM(G5:G8)</f>
        <v>854.27164379999999</v>
      </c>
      <c r="H9" s="13">
        <f>G9/P9</f>
        <v>0.68022933108276884</v>
      </c>
      <c r="I9" s="27"/>
      <c r="J9" s="66">
        <f>SUM(J5:J8)</f>
        <v>401.57001616000002</v>
      </c>
      <c r="K9" s="13">
        <f>J9/O9</f>
        <v>0.29195042903871471</v>
      </c>
      <c r="L9" s="66">
        <f>SUM(L5:L8)</f>
        <v>401.58664511000001</v>
      </c>
      <c r="M9" s="13">
        <f>L9/P9</f>
        <v>0.3197706689172311</v>
      </c>
      <c r="N9" s="27"/>
      <c r="O9" s="66">
        <f>SUM(O5:O8)</f>
        <v>1375.47328662</v>
      </c>
      <c r="P9" s="66">
        <f>SUM(P5:P8)</f>
        <v>1255.8582889100001</v>
      </c>
      <c r="Q9" s="13">
        <f>P9/O9</f>
        <v>0.91303720772074448</v>
      </c>
    </row>
    <row r="10" spans="1:19">
      <c r="A10" s="88">
        <f>buu_wk!B46</f>
        <v>2005</v>
      </c>
      <c r="B10" s="88"/>
      <c r="C10" s="88"/>
      <c r="D10" s="15"/>
      <c r="E10" s="7"/>
      <c r="F10" s="8"/>
      <c r="G10" s="7"/>
      <c r="H10" s="8"/>
      <c r="I10" s="27"/>
      <c r="J10" s="7"/>
      <c r="K10" s="8"/>
      <c r="L10" s="7"/>
      <c r="M10" s="8"/>
      <c r="N10" s="27"/>
      <c r="O10" s="7"/>
      <c r="P10" s="7"/>
      <c r="Q10" s="8"/>
    </row>
    <row r="11" spans="1:19">
      <c r="A11" s="2"/>
      <c r="B11" s="3" t="str">
        <f>buu_wk!C46</f>
        <v>Q1</v>
      </c>
      <c r="C11" s="3" t="s">
        <v>49</v>
      </c>
      <c r="D11" s="15"/>
      <c r="E11" s="65">
        <f>buu_wk!D46</f>
        <v>216.87690914000001</v>
      </c>
      <c r="F11" s="8">
        <f>E11/O11</f>
        <v>0.64441041086588946</v>
      </c>
      <c r="G11" s="65">
        <f>buu_wk!E46</f>
        <v>185.45665008</v>
      </c>
      <c r="H11" s="8">
        <f>G11/P11</f>
        <v>0.60776759264543267</v>
      </c>
      <c r="I11" s="27"/>
      <c r="J11" s="65">
        <f>buu_wk!F46</f>
        <v>119.67399923000001</v>
      </c>
      <c r="K11" s="8">
        <f>J11/O11</f>
        <v>0.3555895891341106</v>
      </c>
      <c r="L11" s="65">
        <f>buu_wk!G46</f>
        <v>119.68737590000001</v>
      </c>
      <c r="M11" s="8">
        <f>L11/P11</f>
        <v>0.39223240735456716</v>
      </c>
      <c r="N11" s="27"/>
      <c r="O11" s="65">
        <f>E11+J11</f>
        <v>336.55090837</v>
      </c>
      <c r="P11" s="65">
        <f>G11+L11</f>
        <v>305.14402598000004</v>
      </c>
      <c r="Q11" s="8">
        <f>P11/O11</f>
        <v>0.90668014374968908</v>
      </c>
    </row>
    <row r="12" spans="1:19">
      <c r="C12" s="3" t="s">
        <v>51</v>
      </c>
      <c r="D12" s="15"/>
      <c r="E12" s="8">
        <f>E11/E5-1</f>
        <v>-3.727235626262182E-2</v>
      </c>
      <c r="F12" s="8"/>
      <c r="G12" s="8">
        <f>G11/G5-1</f>
        <v>-4.9186953611698447E-2</v>
      </c>
      <c r="H12" s="8"/>
      <c r="I12" s="16"/>
      <c r="J12" s="8">
        <f>J11/J5-1</f>
        <v>0.23289936298480418</v>
      </c>
      <c r="K12" s="8"/>
      <c r="L12" s="8">
        <f>L11/L5-1</f>
        <v>0.23303461319303342</v>
      </c>
      <c r="M12" s="8"/>
      <c r="N12" s="16"/>
      <c r="O12" s="8">
        <f>O11/O5-1</f>
        <v>4.4085065913270105E-2</v>
      </c>
      <c r="P12" s="8">
        <f>P11/P5-1</f>
        <v>4.4591932835354786E-2</v>
      </c>
      <c r="Q12" s="8"/>
    </row>
    <row r="13" spans="1:19">
      <c r="B13" s="3" t="str">
        <f>buu_wk!C47</f>
        <v>Q2</v>
      </c>
      <c r="C13" s="3" t="s">
        <v>49</v>
      </c>
      <c r="D13" s="15"/>
      <c r="E13" s="65">
        <f>buu_wk!D47</f>
        <v>230.42921376999999</v>
      </c>
      <c r="F13" s="8">
        <f>E13/O13</f>
        <v>0.65072900197316208</v>
      </c>
      <c r="G13" s="65">
        <f>buu_wk!E47</f>
        <v>199.97269652</v>
      </c>
      <c r="H13" s="8">
        <f>G13/P13</f>
        <v>0.61785512333844272</v>
      </c>
      <c r="I13" s="27"/>
      <c r="J13" s="65">
        <f>buu_wk!F47</f>
        <v>123.68012064</v>
      </c>
      <c r="K13" s="8">
        <f>J13/O13</f>
        <v>0.34927099802683792</v>
      </c>
      <c r="L13" s="65">
        <f>buu_wk!G47</f>
        <v>123.68359273999999</v>
      </c>
      <c r="M13" s="8">
        <f>L13/P13</f>
        <v>0.38214487666155728</v>
      </c>
      <c r="N13" s="27"/>
      <c r="O13" s="65">
        <f>E13+J13</f>
        <v>354.10933440999997</v>
      </c>
      <c r="P13" s="65">
        <f>G13+L13</f>
        <v>323.65628925999999</v>
      </c>
      <c r="Q13" s="8">
        <f>P13/O13</f>
        <v>0.91400100988374289</v>
      </c>
    </row>
    <row r="14" spans="1:19">
      <c r="C14" s="3" t="s">
        <v>51</v>
      </c>
      <c r="D14" s="15"/>
      <c r="E14" s="8">
        <f>E13/E6-1</f>
        <v>-5.1354620944599083E-2</v>
      </c>
      <c r="F14" s="8"/>
      <c r="G14" s="8">
        <f>G13/G6-1</f>
        <v>-3.1794452374325766E-2</v>
      </c>
      <c r="H14" s="8"/>
      <c r="I14" s="16"/>
      <c r="J14" s="8">
        <f>J13/J6-1</f>
        <v>0.20160897538850153</v>
      </c>
      <c r="K14" s="8"/>
      <c r="L14" s="8">
        <f>L13/L6-1</f>
        <v>0.20163356128749266</v>
      </c>
      <c r="M14" s="8"/>
      <c r="N14" s="16"/>
      <c r="O14" s="8">
        <f>O13/O6-1</f>
        <v>2.3934001924312387E-2</v>
      </c>
      <c r="P14" s="8">
        <f>P13/P6-1</f>
        <v>4.5843808032406841E-2</v>
      </c>
      <c r="Q14" s="8"/>
    </row>
    <row r="15" spans="1:19">
      <c r="B15" s="3" t="str">
        <f>buu_wk!C48</f>
        <v>Q3</v>
      </c>
      <c r="C15" s="3" t="s">
        <v>49</v>
      </c>
      <c r="D15" s="15"/>
      <c r="E15" s="65">
        <f>buu_wk!D48</f>
        <v>225.05874238999999</v>
      </c>
      <c r="F15" s="8">
        <f>E15/O15</f>
        <v>0.65079964667871826</v>
      </c>
      <c r="G15" s="65">
        <f>buu_wk!E48</f>
        <v>195.80976903999999</v>
      </c>
      <c r="H15" s="8">
        <f>G15/P15</f>
        <v>0.61853582528111128</v>
      </c>
      <c r="I15" s="27"/>
      <c r="J15" s="65">
        <f>buu_wk!F48</f>
        <v>120.76004153</v>
      </c>
      <c r="K15" s="8">
        <f>J15/O15</f>
        <v>0.3492003533212818</v>
      </c>
      <c r="L15" s="65">
        <f>buu_wk!G48</f>
        <v>120.76004153</v>
      </c>
      <c r="M15" s="8">
        <f>L15/P15</f>
        <v>0.38146417471888883</v>
      </c>
      <c r="N15" s="27"/>
      <c r="O15" s="65">
        <f>E15+J15</f>
        <v>345.81878391999999</v>
      </c>
      <c r="P15" s="65">
        <f>G15+L15</f>
        <v>316.56981056999996</v>
      </c>
      <c r="Q15" s="8">
        <f>P15/O15</f>
        <v>0.91542109708891251</v>
      </c>
    </row>
    <row r="16" spans="1:19">
      <c r="B16" s="9"/>
      <c r="C16" s="9" t="s">
        <v>51</v>
      </c>
      <c r="D16" s="15"/>
      <c r="E16" s="16">
        <f>E15/E7-1</f>
        <v>-9.6351864211006943E-2</v>
      </c>
      <c r="F16" s="16"/>
      <c r="G16" s="16">
        <f>G15/G7-1</f>
        <v>-0.131337720095975</v>
      </c>
      <c r="H16" s="16"/>
      <c r="I16" s="16"/>
      <c r="J16" s="16">
        <f>J15/J7-1</f>
        <v>0.23805248448092975</v>
      </c>
      <c r="K16" s="16"/>
      <c r="L16" s="16">
        <f>L15/L7-1</f>
        <v>0.2379933681464399</v>
      </c>
      <c r="M16" s="16"/>
      <c r="N16" s="16"/>
      <c r="O16" s="16">
        <f>O15/O7-1</f>
        <v>-2.242572609707838E-3</v>
      </c>
      <c r="P16" s="16">
        <f>P15/P7-1</f>
        <v>-1.9787178333200095E-2</v>
      </c>
      <c r="Q16" s="16"/>
      <c r="R16" s="15"/>
      <c r="S16" s="15"/>
    </row>
    <row r="17" spans="1:19">
      <c r="B17" s="3" t="str">
        <f>buu_wk!C49</f>
        <v>Q4</v>
      </c>
      <c r="C17" s="3" t="s">
        <v>49</v>
      </c>
      <c r="D17" s="15"/>
      <c r="E17" s="65">
        <f>buu_wk!D49</f>
        <v>226.78635872000001</v>
      </c>
      <c r="F17" s="8">
        <f>E17/O17</f>
        <v>0.64833017709663487</v>
      </c>
      <c r="G17" s="65">
        <f>buu_wk!E49</f>
        <v>196.32005226000001</v>
      </c>
      <c r="H17" s="8">
        <f>G17/P17</f>
        <v>0.61477609933042066</v>
      </c>
      <c r="I17" s="27"/>
      <c r="J17" s="65">
        <f>buu_wk!F49</f>
        <v>123.01435506999999</v>
      </c>
      <c r="K17" s="8">
        <f>J17/O17</f>
        <v>0.35166982290336507</v>
      </c>
      <c r="L17" s="65">
        <f>buu_wk!G49</f>
        <v>123.01580428</v>
      </c>
      <c r="M17" s="8">
        <f>L17/P17</f>
        <v>0.38522390066957934</v>
      </c>
      <c r="N17" s="27"/>
      <c r="O17" s="65">
        <f>E17+J17</f>
        <v>349.80071379000003</v>
      </c>
      <c r="P17" s="65">
        <f>G17+L17</f>
        <v>319.33585654000001</v>
      </c>
      <c r="Q17" s="8">
        <f>P17/O17</f>
        <v>0.91290796145061803</v>
      </c>
    </row>
    <row r="18" spans="1:19">
      <c r="B18" s="4"/>
      <c r="C18" s="4" t="s">
        <v>51</v>
      </c>
      <c r="D18" s="15"/>
      <c r="E18" s="13">
        <f>E17/E8-1</f>
        <v>-0.1164308018150978</v>
      </c>
      <c r="F18" s="13"/>
      <c r="G18" s="13">
        <f>G17/G8-1</f>
        <v>-0.13616711820744987</v>
      </c>
      <c r="H18" s="13"/>
      <c r="I18" s="27"/>
      <c r="J18" s="13">
        <f>J17/J8-1</f>
        <v>0.18244598371301612</v>
      </c>
      <c r="K18" s="13"/>
      <c r="L18" s="13">
        <f>L17/L8-1</f>
        <v>0.1823350553349905</v>
      </c>
      <c r="M18" s="13"/>
      <c r="N18" s="27"/>
      <c r="O18" s="13">
        <f>O17/O8-1</f>
        <v>-3.0229255961224277E-2</v>
      </c>
      <c r="P18" s="13">
        <f>P17/P8-1</f>
        <v>-3.6144816082765097E-2</v>
      </c>
      <c r="Q18" s="13"/>
    </row>
    <row r="19" spans="1:19">
      <c r="B19" s="3" t="s">
        <v>50</v>
      </c>
      <c r="C19" s="3" t="s">
        <v>49</v>
      </c>
      <c r="D19" s="15"/>
      <c r="E19" s="65">
        <f>E15+E13+E11+E17</f>
        <v>899.15122401999997</v>
      </c>
      <c r="F19" s="8">
        <f>E19/O19</f>
        <v>0.64860734652457841</v>
      </c>
      <c r="G19" s="65">
        <f>G15+G13+G11+G17</f>
        <v>777.55916790000003</v>
      </c>
      <c r="H19" s="8">
        <f>G19/P19</f>
        <v>0.61481417716961118</v>
      </c>
      <c r="I19" s="27"/>
      <c r="J19" s="65">
        <f>J15+J13+J11+J17</f>
        <v>487.12851647000002</v>
      </c>
      <c r="K19" s="8">
        <f>J19/O19</f>
        <v>0.3513926534754217</v>
      </c>
      <c r="L19" s="65">
        <f>L15+L13+L11+L17</f>
        <v>487.14681444999997</v>
      </c>
      <c r="M19" s="8">
        <f>L19/P19</f>
        <v>0.38518582283038888</v>
      </c>
      <c r="N19" s="27"/>
      <c r="O19" s="65">
        <f>O15+O13+O11+O17</f>
        <v>1386.2797404899998</v>
      </c>
      <c r="P19" s="65">
        <f>P15+P13+P11+P17</f>
        <v>1264.7059823499999</v>
      </c>
      <c r="Q19" s="8">
        <f>P19/O19</f>
        <v>0.91230214610434401</v>
      </c>
    </row>
    <row r="20" spans="1:19">
      <c r="A20" s="4"/>
      <c r="B20" s="4"/>
      <c r="C20" s="4" t="s">
        <v>51</v>
      </c>
      <c r="D20" s="15"/>
      <c r="E20" s="13">
        <f>E19/E9-1</f>
        <v>-7.675510361998561E-2</v>
      </c>
      <c r="F20" s="13"/>
      <c r="G20" s="13">
        <f>G19/G9-1</f>
        <v>-8.9798691618470317E-2</v>
      </c>
      <c r="H20" s="13"/>
      <c r="I20" s="16"/>
      <c r="J20" s="13">
        <f>J19/J9-1</f>
        <v>0.21305998173905105</v>
      </c>
      <c r="K20" s="13"/>
      <c r="L20" s="13">
        <f>L19/L9-1</f>
        <v>0.21305531541409661</v>
      </c>
      <c r="M20" s="13"/>
      <c r="N20" s="16"/>
      <c r="O20" s="13">
        <f>O19/O9-1</f>
        <v>7.8565348924768408E-3</v>
      </c>
      <c r="P20" s="13">
        <f>P19/P9-1</f>
        <v>7.0451367945973953E-3</v>
      </c>
      <c r="Q20" s="13"/>
    </row>
    <row r="21" spans="1:19">
      <c r="A21" s="92">
        <f>buu_wk!B50</f>
        <v>2006</v>
      </c>
      <c r="B21" s="92"/>
      <c r="C21" s="92"/>
      <c r="D21" s="15"/>
      <c r="E21" s="27"/>
      <c r="F21" s="16"/>
      <c r="G21" s="27"/>
      <c r="H21" s="16"/>
      <c r="I21" s="27"/>
      <c r="J21" s="27"/>
      <c r="K21" s="16"/>
      <c r="L21" s="27"/>
      <c r="M21" s="16"/>
      <c r="N21" s="27"/>
      <c r="O21" s="27"/>
      <c r="P21" s="27"/>
      <c r="Q21" s="16"/>
    </row>
    <row r="22" spans="1:19">
      <c r="A22" s="15"/>
      <c r="B22" s="9" t="str">
        <f>buu_wk!C50</f>
        <v>Q1</v>
      </c>
      <c r="C22" s="9" t="s">
        <v>49</v>
      </c>
      <c r="D22" s="15"/>
      <c r="E22" s="68">
        <f>buu_wk!D50</f>
        <v>215.92291408</v>
      </c>
      <c r="F22" s="16">
        <f>E22/O22</f>
        <v>0.64407457621747111</v>
      </c>
      <c r="G22" s="68">
        <f>buu_wk!E50</f>
        <v>189.09225142</v>
      </c>
      <c r="H22" s="16">
        <f>G22/P22</f>
        <v>0.61310794460490203</v>
      </c>
      <c r="I22" s="27"/>
      <c r="J22" s="68">
        <f>buu_wk!F50</f>
        <v>119.32229207</v>
      </c>
      <c r="K22" s="16">
        <f>J22/O22</f>
        <v>0.35592542378252889</v>
      </c>
      <c r="L22" s="68">
        <f>buu_wk!G50</f>
        <v>119.3236696</v>
      </c>
      <c r="M22" s="16">
        <f>L22/P22</f>
        <v>0.38689205539509802</v>
      </c>
      <c r="N22" s="27"/>
      <c r="O22" s="68">
        <f>E22+J22</f>
        <v>335.24520615</v>
      </c>
      <c r="P22" s="68">
        <f>G22+L22</f>
        <v>308.41592101999998</v>
      </c>
      <c r="Q22" s="16">
        <f>P22/O22</f>
        <v>0.91997115950408048</v>
      </c>
    </row>
    <row r="23" spans="1:19">
      <c r="A23" s="9"/>
      <c r="B23" s="9"/>
      <c r="C23" s="9" t="s">
        <v>51</v>
      </c>
      <c r="D23" s="15"/>
      <c r="E23" s="16">
        <f>E22/E11-1</f>
        <v>-4.3987857618543735E-3</v>
      </c>
      <c r="F23" s="16"/>
      <c r="G23" s="16">
        <f>G22/G11-1</f>
        <v>1.9603510245826739E-2</v>
      </c>
      <c r="H23" s="16"/>
      <c r="I23" s="16"/>
      <c r="J23" s="16">
        <f>J22/J11-1</f>
        <v>-2.9388769679541404E-3</v>
      </c>
      <c r="K23" s="16"/>
      <c r="L23" s="16">
        <f>L22/L11-1</f>
        <v>-3.0388025242017447E-3</v>
      </c>
      <c r="M23" s="16"/>
      <c r="N23" s="16"/>
      <c r="O23" s="16">
        <f>O22/O11-1</f>
        <v>-3.8796573936580314E-3</v>
      </c>
      <c r="P23" s="16">
        <f>P22/P11-1</f>
        <v>1.0722461399963246E-2</v>
      </c>
      <c r="Q23" s="16"/>
    </row>
    <row r="24" spans="1:19">
      <c r="B24" s="3" t="str">
        <f>buu_wk!C56</f>
        <v>Q2</v>
      </c>
      <c r="C24" s="3" t="s">
        <v>49</v>
      </c>
      <c r="D24" s="15"/>
      <c r="E24" s="65">
        <f>buu_wk!D56</f>
        <v>230.72315605</v>
      </c>
      <c r="F24" s="8">
        <f>E24/O24</f>
        <v>0.64431055654213765</v>
      </c>
      <c r="G24" s="65">
        <f>buu_wk!E56</f>
        <v>204.94319440999999</v>
      </c>
      <c r="H24" s="8">
        <f>G24/P24</f>
        <v>0.61672625889268562</v>
      </c>
      <c r="I24" s="27"/>
      <c r="J24" s="65">
        <f>buu_wk!F56</f>
        <v>127.36993074999999</v>
      </c>
      <c r="K24" s="8">
        <f>J24/O24</f>
        <v>0.35568944345786235</v>
      </c>
      <c r="L24" s="65">
        <f>buu_wk!G56</f>
        <v>127.36500789999999</v>
      </c>
      <c r="M24" s="8">
        <f>L24/P24</f>
        <v>0.38327374110731444</v>
      </c>
      <c r="N24" s="27"/>
      <c r="O24" s="65">
        <f>E24+J24</f>
        <v>358.09308679999998</v>
      </c>
      <c r="P24" s="65">
        <f>G24+L24</f>
        <v>332.30820230999996</v>
      </c>
      <c r="Q24" s="8">
        <f>P24/O24</f>
        <v>0.92799390594099562</v>
      </c>
    </row>
    <row r="25" spans="1:19">
      <c r="A25" s="9"/>
      <c r="B25" s="9"/>
      <c r="C25" s="9" t="s">
        <v>51</v>
      </c>
      <c r="D25" s="15"/>
      <c r="E25" s="16">
        <f>E24/E13-1</f>
        <v>1.2756294012850056E-3</v>
      </c>
      <c r="F25" s="16"/>
      <c r="G25" s="16">
        <f>G24/G13-1</f>
        <v>2.4855882710482335E-2</v>
      </c>
      <c r="H25" s="16"/>
      <c r="I25" s="16"/>
      <c r="J25" s="16">
        <f>J24/J13-1</f>
        <v>2.9833493781430409E-2</v>
      </c>
      <c r="K25" s="16"/>
      <c r="L25" s="16">
        <f>L24/L13-1</f>
        <v>2.9764781879669799E-2</v>
      </c>
      <c r="M25" s="16"/>
      <c r="N25" s="16"/>
      <c r="O25" s="16">
        <f>O24/O13-1</f>
        <v>1.1250063194853555E-2</v>
      </c>
      <c r="P25" s="16">
        <f>P24/P13-1</f>
        <v>2.6731793378035329E-2</v>
      </c>
      <c r="Q25" s="16"/>
    </row>
    <row r="26" spans="1:19">
      <c r="A26" s="9"/>
      <c r="B26" s="9" t="str">
        <f>buu_wk!C63</f>
        <v>Q3</v>
      </c>
      <c r="C26" s="9" t="s">
        <v>49</v>
      </c>
      <c r="D26" s="15"/>
      <c r="E26" s="68">
        <f>buu_wk!D63</f>
        <v>228.42414832</v>
      </c>
      <c r="F26" s="16">
        <f>E26/O26</f>
        <v>0.64143743530191988</v>
      </c>
      <c r="G26" s="68">
        <f>buu_wk!E63</f>
        <v>198.07402060999999</v>
      </c>
      <c r="H26" s="16">
        <f>G26/P26</f>
        <v>0.60805483916974068</v>
      </c>
      <c r="I26" s="27"/>
      <c r="J26" s="68">
        <f>buu_wk!F63</f>
        <v>127.68875645999999</v>
      </c>
      <c r="K26" s="16">
        <f>J26/O26</f>
        <v>0.35856256469808012</v>
      </c>
      <c r="L26" s="68">
        <f>buu_wk!G63</f>
        <v>127.67623718</v>
      </c>
      <c r="M26" s="16">
        <f>L26/P26</f>
        <v>0.39194516083025938</v>
      </c>
      <c r="N26" s="27"/>
      <c r="O26" s="68">
        <f>E26+J26</f>
        <v>356.11290478000001</v>
      </c>
      <c r="P26" s="68">
        <f>G26+L26</f>
        <v>325.75025778999998</v>
      </c>
      <c r="Q26" s="16">
        <f>P26/O26</f>
        <v>0.91473870622925746</v>
      </c>
    </row>
    <row r="27" spans="1:19">
      <c r="A27" s="9"/>
      <c r="B27" s="9"/>
      <c r="C27" s="9" t="s">
        <v>51</v>
      </c>
      <c r="D27" s="15"/>
      <c r="E27" s="16">
        <f>E26/E15-1</f>
        <v>1.4953455681220085E-2</v>
      </c>
      <c r="F27" s="16"/>
      <c r="G27" s="16">
        <f>G26/G15-1</f>
        <v>1.15635270962271E-2</v>
      </c>
      <c r="H27" s="16"/>
      <c r="I27" s="16"/>
      <c r="J27" s="16">
        <f>J26/J15-1</f>
        <v>5.737589058611503E-2</v>
      </c>
      <c r="K27" s="16"/>
      <c r="L27" s="16">
        <f>L26/L15-1</f>
        <v>5.7272219869863417E-2</v>
      </c>
      <c r="M27" s="16"/>
      <c r="N27" s="16"/>
      <c r="O27" s="16">
        <f>O26/O15-1</f>
        <v>2.9767384938758523E-2</v>
      </c>
      <c r="P27" s="16">
        <f>P26/P15-1</f>
        <v>2.8999755862601617E-2</v>
      </c>
      <c r="Q27" s="16"/>
      <c r="R27" s="15"/>
      <c r="S27" s="15"/>
    </row>
    <row r="28" spans="1:19">
      <c r="B28" s="3" t="str">
        <f>buu_wk!C70</f>
        <v>Q4</v>
      </c>
      <c r="C28" s="3" t="s">
        <v>49</v>
      </c>
      <c r="D28" s="15"/>
      <c r="E28" s="68">
        <f>buu_wk!D70</f>
        <v>233.28353568</v>
      </c>
      <c r="F28" s="8">
        <f>E28/O28</f>
        <v>0.64584087340479024</v>
      </c>
      <c r="G28" s="68">
        <f>buu_wk!E70</f>
        <v>205.93229256999999</v>
      </c>
      <c r="H28" s="8">
        <f>G28/P28</f>
        <v>0.61683817325757373</v>
      </c>
      <c r="I28" s="27"/>
      <c r="J28" s="68">
        <f>buu_wk!F70</f>
        <v>127.92546376</v>
      </c>
      <c r="K28" s="8">
        <f>J28/O28</f>
        <v>0.35415912659520971</v>
      </c>
      <c r="L28" s="68">
        <f>buu_wk!G70</f>
        <v>127.9191153</v>
      </c>
      <c r="M28" s="8">
        <f>L28/P28</f>
        <v>0.38316182674242621</v>
      </c>
      <c r="N28" s="27"/>
      <c r="O28" s="68">
        <f>E28+J28</f>
        <v>361.20899944000001</v>
      </c>
      <c r="P28" s="68">
        <f>G28+L28</f>
        <v>333.85140787</v>
      </c>
      <c r="Q28" s="8">
        <f>P28/O28</f>
        <v>0.92426104661729402</v>
      </c>
    </row>
    <row r="29" spans="1:19">
      <c r="B29" s="4"/>
      <c r="C29" s="4" t="s">
        <v>51</v>
      </c>
      <c r="D29" s="15"/>
      <c r="E29" s="13">
        <f>E28/E17-1</f>
        <v>2.8648887863761185E-2</v>
      </c>
      <c r="F29" s="13"/>
      <c r="G29" s="13">
        <f>G28/G17-1</f>
        <v>4.8962091234928007E-2</v>
      </c>
      <c r="H29" s="13"/>
      <c r="I29" s="27"/>
      <c r="J29" s="13">
        <f>J28/J17-1</f>
        <v>3.9923053591634838E-2</v>
      </c>
      <c r="K29" s="13"/>
      <c r="L29" s="13">
        <f>L28/L17-1</f>
        <v>3.9859195724473162E-2</v>
      </c>
      <c r="M29" s="13"/>
      <c r="N29" s="27"/>
      <c r="O29" s="13">
        <f>O28/O17-1</f>
        <v>3.2613671728665583E-2</v>
      </c>
      <c r="P29" s="13">
        <f>P28/P17-1</f>
        <v>4.5455438319003116E-2</v>
      </c>
      <c r="Q29" s="13"/>
    </row>
    <row r="30" spans="1:19">
      <c r="B30" s="3" t="s">
        <v>50</v>
      </c>
      <c r="C30" s="3" t="s">
        <v>49</v>
      </c>
      <c r="D30" s="15"/>
      <c r="E30" s="68">
        <f>E26+E24+E22+E28</f>
        <v>908.35375413000008</v>
      </c>
      <c r="F30" s="8">
        <f>E30/O30</f>
        <v>0.64392102077615609</v>
      </c>
      <c r="G30" s="68">
        <f>G26+G24+G22+G28</f>
        <v>798.04175900999996</v>
      </c>
      <c r="H30" s="8">
        <f>G30/P30</f>
        <v>0.61372447256457308</v>
      </c>
      <c r="I30" s="27"/>
      <c r="J30" s="68">
        <f>J26+J24+J22+J28</f>
        <v>502.30644304000003</v>
      </c>
      <c r="K30" s="8">
        <f>J30/O30</f>
        <v>0.35607897922384391</v>
      </c>
      <c r="L30" s="68">
        <f>L26+L24+L22+L28</f>
        <v>502.28402998000001</v>
      </c>
      <c r="M30" s="8">
        <f>L30/P30</f>
        <v>0.38627552743542704</v>
      </c>
      <c r="N30" s="27"/>
      <c r="O30" s="68">
        <f>O26+O24+O22+O28</f>
        <v>1410.6601971700002</v>
      </c>
      <c r="P30" s="68">
        <f>P26+P24+P22+P28</f>
        <v>1300.3257889899999</v>
      </c>
      <c r="Q30" s="8">
        <f>P30/O30</f>
        <v>0.92178526876894384</v>
      </c>
    </row>
    <row r="31" spans="1:19">
      <c r="A31" s="4"/>
      <c r="B31" s="4"/>
      <c r="C31" s="4" t="s">
        <v>51</v>
      </c>
      <c r="D31" s="15"/>
      <c r="E31" s="13">
        <f>E30/E19-1</f>
        <v>1.0234685628137896E-2</v>
      </c>
      <c r="F31" s="13"/>
      <c r="G31" s="13">
        <f>G30/G19-1</f>
        <v>2.6342163986463607E-2</v>
      </c>
      <c r="H31" s="13"/>
      <c r="I31" s="16"/>
      <c r="J31" s="13">
        <f>J30/J19-1</f>
        <v>3.1157951252756888E-2</v>
      </c>
      <c r="K31" s="13"/>
      <c r="L31" s="13">
        <f>L30/L19-1</f>
        <v>3.1073210541447072E-2</v>
      </c>
      <c r="M31" s="13"/>
      <c r="N31" s="16"/>
      <c r="O31" s="13">
        <f>O30/O19-1</f>
        <v>1.7586967455343938E-2</v>
      </c>
      <c r="P31" s="13">
        <f>P30/P19-1</f>
        <v>2.8164496046593657E-2</v>
      </c>
      <c r="Q31" s="13"/>
    </row>
    <row r="32" spans="1:19">
      <c r="A32" s="34" t="str">
        <f>說明!B18</f>
        <v>1.</v>
      </c>
      <c r="B32" s="34" t="str">
        <f>說明!C18</f>
        <v>資料來源：總額各案件核定醫療費用分攤明細(PHFB_DECIDE_DIST)</v>
      </c>
    </row>
    <row r="33" spans="1:2">
      <c r="A33" s="34" t="str">
        <f>說明!B19</f>
        <v>2.</v>
      </c>
      <c r="B33" s="34" t="str">
        <f>說明!C19</f>
        <v>資料處理：</v>
      </c>
    </row>
    <row r="34" spans="1:2">
      <c r="A34" s="34"/>
      <c r="B34" s="34" t="str">
        <f>說明!C20</f>
        <v>※本表僅含當季核定之送核、補報資料</v>
      </c>
    </row>
    <row r="35" spans="1:2">
      <c r="A35" s="34"/>
      <c r="B35" s="34" t="str">
        <f>說明!C21</f>
        <v>※本表不含申複、爭議審議等之核定醫療點數及費用</v>
      </c>
    </row>
    <row r="36" spans="1:2">
      <c r="A36" s="34"/>
      <c r="B36" s="34" t="str">
        <f>說明!C22</f>
        <v>※本表不含代辦、總額外及追扣、補付付款之項目</v>
      </c>
    </row>
    <row r="37" spans="1:2">
      <c r="A37" s="34"/>
      <c r="B37" s="34" t="str">
        <f>說明!C23</f>
        <v>※本表所謂浮動點值部分係指各總額別中一般部門預算之浮動點值部份</v>
      </c>
    </row>
    <row r="38" spans="1:2">
      <c r="A38" s="34"/>
      <c r="B38" s="34" t="str">
        <f>說明!C24</f>
        <v>※本表所謂固定點值部分係指各總額別中一般部門預算之非浮動點值及專款部份</v>
      </c>
    </row>
    <row r="39" spans="1:2">
      <c r="A39" s="34"/>
      <c r="B39" s="34" t="str">
        <f>說明!C25</f>
        <v>※層級別中不含處方釋出之醫療點數及費用</v>
      </c>
    </row>
    <row r="40" spans="1:2">
      <c r="A40" s="34"/>
      <c r="B40" s="34"/>
    </row>
    <row r="41" spans="1:2">
      <c r="A41" s="34"/>
      <c r="B41" s="34"/>
    </row>
    <row r="42" spans="1:2">
      <c r="A42" s="34"/>
      <c r="B42" s="34"/>
    </row>
  </sheetData>
  <mergeCells count="7">
    <mergeCell ref="A21:C21"/>
    <mergeCell ref="A10:C10"/>
    <mergeCell ref="A1:Q1"/>
    <mergeCell ref="E2:H2"/>
    <mergeCell ref="J2:M2"/>
    <mergeCell ref="O2:Q2"/>
    <mergeCell ref="A4:C4"/>
  </mergeCells>
  <phoneticPr fontId="5" type="noConversion"/>
  <hyperlinks>
    <hyperlink ref="A1:Q1" location="目錄!A1" display="全民健康保險醫療服務核定醫療點數及費用統計_總表"/>
  </hyperlinks>
  <printOptions horizontalCentered="1"/>
  <pageMargins left="0.55118110236220474" right="0.55118110236220474" top="0.78740157480314965" bottom="0.78740157480314965" header="0.51181102362204722" footer="0.51181102362204722"/>
  <pageSetup paperSize="9" scale="90" orientation="landscape" r:id="rId1"/>
  <headerFooter alignWithMargins="0"/>
</worksheet>
</file>

<file path=xl/worksheets/sheet13.xml><?xml version="1.0" encoding="utf-8"?>
<worksheet xmlns="http://schemas.openxmlformats.org/spreadsheetml/2006/main" xmlns:r="http://schemas.openxmlformats.org/officeDocument/2006/relationships">
  <sheetPr codeName="Sheet5">
    <pageSetUpPr fitToPage="1"/>
  </sheetPr>
  <dimension ref="A1:T42"/>
  <sheetViews>
    <sheetView showGridLines="0" zoomScale="75" workbookViewId="0">
      <pane ySplit="1" topLeftCell="A2" activePane="bottomLeft" state="frozen"/>
      <selection sqref="A1:D1"/>
      <selection pane="bottomLeft" activeCell="R3" sqref="R3"/>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 style="3" customWidth="1"/>
    <col min="6" max="6" width="11.125" style="3" bestFit="1" customWidth="1"/>
    <col min="7" max="7" width="11.5" style="3" bestFit="1" customWidth="1"/>
    <col min="8" max="8" width="11.125" style="3" bestFit="1" customWidth="1"/>
    <col min="9" max="9" width="1.875" style="3" customWidth="1"/>
    <col min="10" max="10" width="12.375" style="3" bestFit="1" customWidth="1"/>
    <col min="11" max="11" width="11.125" style="3" bestFit="1" customWidth="1"/>
    <col min="12" max="12" width="11.5" style="3" bestFit="1" customWidth="1"/>
    <col min="13" max="13" width="11.125" style="3" bestFit="1" customWidth="1"/>
    <col min="14" max="14" width="2.25" style="3" customWidth="1"/>
    <col min="15" max="16" width="12.375" style="3" bestFit="1" customWidth="1"/>
    <col min="17" max="17" width="11.125" style="3" bestFit="1" customWidth="1"/>
    <col min="18" max="16384" width="8.875" style="2"/>
  </cols>
  <sheetData>
    <row r="1" spans="1:20" ht="40.9" customHeight="1">
      <c r="A1" s="89" t="s">
        <v>206</v>
      </c>
      <c r="B1" s="89"/>
      <c r="C1" s="89"/>
      <c r="D1" s="89"/>
      <c r="E1" s="89"/>
      <c r="F1" s="89"/>
      <c r="G1" s="89"/>
      <c r="H1" s="89"/>
      <c r="I1" s="89"/>
      <c r="J1" s="89"/>
      <c r="K1" s="89"/>
      <c r="L1" s="89"/>
      <c r="M1" s="89"/>
      <c r="N1" s="89"/>
      <c r="O1" s="89"/>
      <c r="P1" s="89"/>
      <c r="Q1" s="89"/>
    </row>
    <row r="2" spans="1:20" s="3" customFormat="1">
      <c r="E2" s="90" t="s">
        <v>52</v>
      </c>
      <c r="F2" s="90"/>
      <c r="G2" s="90"/>
      <c r="H2" s="90"/>
      <c r="J2" s="90" t="s">
        <v>53</v>
      </c>
      <c r="K2" s="90"/>
      <c r="L2" s="90"/>
      <c r="M2" s="90"/>
      <c r="O2" s="90" t="s">
        <v>54</v>
      </c>
      <c r="P2" s="90"/>
      <c r="Q2" s="90"/>
    </row>
    <row r="3" spans="1:20" s="3" customFormat="1" ht="33">
      <c r="A3" s="4" t="s">
        <v>55</v>
      </c>
      <c r="B3" s="4" t="s">
        <v>56</v>
      </c>
      <c r="C3" s="4" t="s">
        <v>57</v>
      </c>
      <c r="E3" s="5" t="s">
        <v>218</v>
      </c>
      <c r="F3" s="6" t="s">
        <v>58</v>
      </c>
      <c r="G3" s="35" t="s">
        <v>219</v>
      </c>
      <c r="H3" s="6" t="s">
        <v>58</v>
      </c>
      <c r="J3" s="5" t="s">
        <v>218</v>
      </c>
      <c r="K3" s="6" t="s">
        <v>58</v>
      </c>
      <c r="L3" s="35" t="s">
        <v>219</v>
      </c>
      <c r="M3" s="6" t="s">
        <v>58</v>
      </c>
      <c r="O3" s="5" t="s">
        <v>220</v>
      </c>
      <c r="P3" s="35" t="s">
        <v>221</v>
      </c>
      <c r="Q3" s="35" t="s">
        <v>216</v>
      </c>
      <c r="R3" s="84"/>
    </row>
    <row r="4" spans="1:20">
      <c r="A4" s="88">
        <f>buu_wk!B26</f>
        <v>2004</v>
      </c>
      <c r="B4" s="88"/>
      <c r="C4" s="88"/>
      <c r="D4" s="9"/>
      <c r="E4" s="10"/>
      <c r="F4" s="9"/>
      <c r="G4" s="9"/>
      <c r="H4" s="9"/>
      <c r="I4" s="9"/>
      <c r="J4" s="10"/>
      <c r="K4" s="9"/>
      <c r="L4" s="9"/>
      <c r="M4" s="9"/>
      <c r="N4" s="9"/>
      <c r="O4" s="10"/>
      <c r="P4" s="9"/>
      <c r="Q4" s="9"/>
    </row>
    <row r="5" spans="1:20">
      <c r="A5" s="2"/>
      <c r="B5" s="3" t="str">
        <f>buu_wk!C26</f>
        <v>Q1</v>
      </c>
      <c r="C5" s="3" t="s">
        <v>59</v>
      </c>
      <c r="D5" s="15"/>
      <c r="E5" s="65">
        <f>buu_wk!D26</f>
        <v>104.39392801</v>
      </c>
      <c r="F5" s="8">
        <f>E5/O5</f>
        <v>0.72569845968135771</v>
      </c>
      <c r="G5" s="65">
        <f>buu_wk!E26</f>
        <v>88.339841239999998</v>
      </c>
      <c r="H5" s="8">
        <f>G5/P5</f>
        <v>0.6912155792275535</v>
      </c>
      <c r="I5" s="16"/>
      <c r="J5" s="65">
        <f>buu_wk!F26</f>
        <v>39.459109869999999</v>
      </c>
      <c r="K5" s="8">
        <f>J5/O5</f>
        <v>0.27430154031864235</v>
      </c>
      <c r="L5" s="65">
        <f>buu_wk!G26</f>
        <v>39.463761419999997</v>
      </c>
      <c r="M5" s="8">
        <f>L5/P5</f>
        <v>0.30878442077244644</v>
      </c>
      <c r="N5" s="16"/>
      <c r="O5" s="65">
        <f>E5+J5</f>
        <v>143.85303787999999</v>
      </c>
      <c r="P5" s="65">
        <f>G5+L5</f>
        <v>127.80360266</v>
      </c>
      <c r="Q5" s="8">
        <f>P5/O5</f>
        <v>0.8884317254850872</v>
      </c>
    </row>
    <row r="6" spans="1:20">
      <c r="B6" s="3" t="str">
        <f>buu_wk!C27</f>
        <v>Q2</v>
      </c>
      <c r="C6" s="3" t="s">
        <v>59</v>
      </c>
      <c r="D6" s="15"/>
      <c r="E6" s="65">
        <f>buu_wk!D27</f>
        <v>108.05058827000001</v>
      </c>
      <c r="F6" s="8">
        <f>E6/O6</f>
        <v>0.73419191579699283</v>
      </c>
      <c r="G6" s="65">
        <f>buu_wk!E27</f>
        <v>93.428328429999993</v>
      </c>
      <c r="H6" s="8">
        <f>G6/P6</f>
        <v>0.70483304511632683</v>
      </c>
      <c r="I6" s="27"/>
      <c r="J6" s="65">
        <f>buu_wk!F27</f>
        <v>39.118817909999997</v>
      </c>
      <c r="K6" s="8">
        <f>J6/O6</f>
        <v>0.26580808420300711</v>
      </c>
      <c r="L6" s="65">
        <f>buu_wk!G27</f>
        <v>39.125514039999999</v>
      </c>
      <c r="M6" s="8">
        <f>L6/P6</f>
        <v>0.29516695488367306</v>
      </c>
      <c r="N6" s="27"/>
      <c r="O6" s="65">
        <f>E6+J6</f>
        <v>147.16940618000001</v>
      </c>
      <c r="P6" s="65">
        <f>G6+L6</f>
        <v>132.55384247000001</v>
      </c>
      <c r="Q6" s="8">
        <f>P6/O6</f>
        <v>0.90068884498912771</v>
      </c>
    </row>
    <row r="7" spans="1:20">
      <c r="B7" s="3" t="str">
        <f>buu_wk!C28</f>
        <v>Q3</v>
      </c>
      <c r="C7" s="3" t="s">
        <v>59</v>
      </c>
      <c r="D7" s="15"/>
      <c r="E7" s="65">
        <f>buu_wk!D28</f>
        <v>108.63964921</v>
      </c>
      <c r="F7" s="8">
        <f>E7/O7</f>
        <v>0.74763167833607691</v>
      </c>
      <c r="G7" s="65">
        <f>buu_wk!E28</f>
        <v>96.342371830000005</v>
      </c>
      <c r="H7" s="8">
        <f>G7/P7</f>
        <v>0.72420723719155544</v>
      </c>
      <c r="I7" s="27"/>
      <c r="J7" s="65">
        <f>buu_wk!F28</f>
        <v>36.672076279999999</v>
      </c>
      <c r="K7" s="8">
        <f>J7/O7</f>
        <v>0.25236832166392298</v>
      </c>
      <c r="L7" s="65">
        <f>buu_wk!G28</f>
        <v>36.689123690000002</v>
      </c>
      <c r="M7" s="8">
        <f>L7/P7</f>
        <v>0.27579276280844445</v>
      </c>
      <c r="N7" s="27"/>
      <c r="O7" s="65">
        <f>E7+J7</f>
        <v>145.31172549000001</v>
      </c>
      <c r="P7" s="65">
        <f>G7+L7</f>
        <v>133.03149552000002</v>
      </c>
      <c r="Q7" s="8">
        <f>P7/O7</f>
        <v>0.91549044009634939</v>
      </c>
    </row>
    <row r="8" spans="1:20">
      <c r="B8" s="4" t="str">
        <f>buu_wk!C29</f>
        <v>Q4</v>
      </c>
      <c r="C8" s="4" t="s">
        <v>59</v>
      </c>
      <c r="D8" s="15"/>
      <c r="E8" s="66">
        <f>buu_wk!D29</f>
        <v>113.7087224</v>
      </c>
      <c r="F8" s="13">
        <f>E8/O8</f>
        <v>0.74231502896770951</v>
      </c>
      <c r="G8" s="66">
        <f>buu_wk!E29</f>
        <v>98.95684353</v>
      </c>
      <c r="H8" s="13">
        <f>G8/P8</f>
        <v>0.71482531818108486</v>
      </c>
      <c r="I8" s="27"/>
      <c r="J8" s="66">
        <f>buu_wk!F29</f>
        <v>39.472498459999997</v>
      </c>
      <c r="K8" s="13">
        <f>J8/O8</f>
        <v>0.25768497103229054</v>
      </c>
      <c r="L8" s="66">
        <f>buu_wk!G29</f>
        <v>39.478157320000001</v>
      </c>
      <c r="M8" s="13">
        <f>L8/P8</f>
        <v>0.2851746818189152</v>
      </c>
      <c r="N8" s="27"/>
      <c r="O8" s="66">
        <f>E8+J8</f>
        <v>153.18122086</v>
      </c>
      <c r="P8" s="66">
        <f>G8+L8</f>
        <v>138.43500084999999</v>
      </c>
      <c r="Q8" s="13">
        <f>P8/O8</f>
        <v>0.90373349992113383</v>
      </c>
    </row>
    <row r="9" spans="1:20">
      <c r="A9" s="4"/>
      <c r="B9" s="4" t="s">
        <v>60</v>
      </c>
      <c r="C9" s="4" t="s">
        <v>59</v>
      </c>
      <c r="D9" s="15"/>
      <c r="E9" s="66">
        <f>SUM(E5:E8)</f>
        <v>434.79288789000003</v>
      </c>
      <c r="F9" s="13">
        <f>E9/O9</f>
        <v>0.7375428953391826</v>
      </c>
      <c r="G9" s="66">
        <f>SUM(G5:G8)</f>
        <v>377.06738503000003</v>
      </c>
      <c r="H9" s="13">
        <f>G9/P9</f>
        <v>0.70900791710596578</v>
      </c>
      <c r="I9" s="27"/>
      <c r="J9" s="66">
        <f>SUM(J5:J8)</f>
        <v>154.72250251999998</v>
      </c>
      <c r="K9" s="13">
        <f>J9/O9</f>
        <v>0.26245710466081734</v>
      </c>
      <c r="L9" s="66">
        <f>SUM(L5:L8)</f>
        <v>154.75655646999999</v>
      </c>
      <c r="M9" s="13">
        <f>L9/P9</f>
        <v>0.29099208289403417</v>
      </c>
      <c r="N9" s="27"/>
      <c r="O9" s="66">
        <f>SUM(O5:O8)</f>
        <v>589.51539041000001</v>
      </c>
      <c r="P9" s="66">
        <f>SUM(P5:P8)</f>
        <v>531.82394150000005</v>
      </c>
      <c r="Q9" s="13">
        <f>P9/O9</f>
        <v>0.9021375016691654</v>
      </c>
    </row>
    <row r="10" spans="1:20">
      <c r="A10" s="88">
        <f>buu_wk!B30</f>
        <v>2005</v>
      </c>
      <c r="B10" s="88"/>
      <c r="C10" s="88"/>
      <c r="D10" s="15"/>
      <c r="E10" s="7"/>
      <c r="F10" s="8"/>
      <c r="G10" s="7"/>
      <c r="H10" s="8"/>
      <c r="I10" s="27"/>
      <c r="J10" s="7"/>
      <c r="K10" s="8"/>
      <c r="L10" s="7"/>
      <c r="M10" s="8"/>
      <c r="N10" s="27"/>
      <c r="O10" s="7"/>
      <c r="P10" s="7"/>
      <c r="Q10" s="8"/>
    </row>
    <row r="11" spans="1:20">
      <c r="A11" s="2"/>
      <c r="B11" s="3" t="str">
        <f>buu_wk!C30</f>
        <v>Q1</v>
      </c>
      <c r="C11" s="3" t="s">
        <v>59</v>
      </c>
      <c r="D11" s="15"/>
      <c r="E11" s="65">
        <f>buu_wk!D30</f>
        <v>95.840703349999998</v>
      </c>
      <c r="F11" s="8">
        <f>E11/O11</f>
        <v>0.65675430576444505</v>
      </c>
      <c r="G11" s="65">
        <f>buu_wk!E30</f>
        <v>81.081542589999998</v>
      </c>
      <c r="H11" s="8">
        <f>G11/P11</f>
        <v>0.61801499814914096</v>
      </c>
      <c r="I11" s="27"/>
      <c r="J11" s="65">
        <f>buu_wk!F30</f>
        <v>50.090130309999999</v>
      </c>
      <c r="K11" s="8">
        <f>J11/O11</f>
        <v>0.34324569423555501</v>
      </c>
      <c r="L11" s="65">
        <f>buu_wk!G30</f>
        <v>50.115180520000003</v>
      </c>
      <c r="M11" s="8">
        <f>L11/P11</f>
        <v>0.38198500185085915</v>
      </c>
      <c r="N11" s="27"/>
      <c r="O11" s="65">
        <f>E11+J11</f>
        <v>145.93083365999999</v>
      </c>
      <c r="P11" s="65">
        <f>G11+L11</f>
        <v>131.19672310999999</v>
      </c>
      <c r="Q11" s="8">
        <f>P11/O11</f>
        <v>0.89903360256045295</v>
      </c>
    </row>
    <row r="12" spans="1:20">
      <c r="C12" s="3" t="s">
        <v>61</v>
      </c>
      <c r="D12" s="15"/>
      <c r="E12" s="8">
        <f>E11/E5-1</f>
        <v>-8.1932204516537377E-2</v>
      </c>
      <c r="F12" s="8"/>
      <c r="G12" s="8">
        <f>G11/G5-1</f>
        <v>-8.2163365341361594E-2</v>
      </c>
      <c r="H12" s="8"/>
      <c r="I12" s="16"/>
      <c r="J12" s="8">
        <f>J11/J5-1</f>
        <v>0.26941865832818901</v>
      </c>
      <c r="K12" s="8"/>
      <c r="L12" s="8">
        <f>L11/L5-1</f>
        <v>0.26990379823758848</v>
      </c>
      <c r="M12" s="8"/>
      <c r="N12" s="16"/>
      <c r="O12" s="8">
        <f>O11/O5-1</f>
        <v>1.4443878354055029E-2</v>
      </c>
      <c r="P12" s="8">
        <f>P11/P5-1</f>
        <v>2.6549489837362605E-2</v>
      </c>
      <c r="Q12" s="8"/>
    </row>
    <row r="13" spans="1:20">
      <c r="B13" s="3" t="str">
        <f>buu_wk!C31</f>
        <v>Q2</v>
      </c>
      <c r="C13" s="3" t="s">
        <v>59</v>
      </c>
      <c r="D13" s="15"/>
      <c r="E13" s="65">
        <f>buu_wk!D31</f>
        <v>101.25874788</v>
      </c>
      <c r="F13" s="8">
        <f>E13/O13</f>
        <v>0.6658509061907677</v>
      </c>
      <c r="G13" s="65">
        <f>buu_wk!E31</f>
        <v>90.990842029999996</v>
      </c>
      <c r="H13" s="8">
        <f>G13/P13</f>
        <v>0.64156417340447558</v>
      </c>
      <c r="I13" s="27"/>
      <c r="J13" s="65">
        <f>buu_wk!F31</f>
        <v>50.815458130000003</v>
      </c>
      <c r="K13" s="8">
        <f>J13/O13</f>
        <v>0.33414909380923224</v>
      </c>
      <c r="L13" s="65">
        <f>buu_wk!G31</f>
        <v>50.835721550000002</v>
      </c>
      <c r="M13" s="8">
        <f>L13/P13</f>
        <v>0.35843582659552442</v>
      </c>
      <c r="N13" s="27"/>
      <c r="O13" s="65">
        <f>E13+J13</f>
        <v>152.07420601000001</v>
      </c>
      <c r="P13" s="65">
        <f>G13+L13</f>
        <v>141.82656358</v>
      </c>
      <c r="Q13" s="8">
        <f>P13/O13</f>
        <v>0.93261419737857354</v>
      </c>
    </row>
    <row r="14" spans="1:20">
      <c r="C14" s="3" t="s">
        <v>61</v>
      </c>
      <c r="D14" s="15"/>
      <c r="E14" s="8">
        <f>E13/E6-1</f>
        <v>-6.2857967723677244E-2</v>
      </c>
      <c r="F14" s="8"/>
      <c r="G14" s="8">
        <f>G13/G6-1</f>
        <v>-2.6089371831438224E-2</v>
      </c>
      <c r="H14" s="8"/>
      <c r="I14" s="16"/>
      <c r="J14" s="8">
        <f>J13/J6-1</f>
        <v>0.29900290563253384</v>
      </c>
      <c r="K14" s="8"/>
      <c r="L14" s="8">
        <f>L13/L6-1</f>
        <v>0.29929849606648151</v>
      </c>
      <c r="M14" s="8"/>
      <c r="N14" s="16"/>
      <c r="O14" s="8">
        <f>O13/O6-1</f>
        <v>3.332757777116413E-2</v>
      </c>
      <c r="P14" s="8">
        <f>P13/P6-1</f>
        <v>6.9954374292081622E-2</v>
      </c>
      <c r="Q14" s="8"/>
    </row>
    <row r="15" spans="1:20">
      <c r="B15" s="3" t="str">
        <f>buu_wk!C32</f>
        <v>Q3</v>
      </c>
      <c r="C15" s="3" t="s">
        <v>59</v>
      </c>
      <c r="D15" s="15"/>
      <c r="E15" s="65">
        <f>buu_wk!D32</f>
        <v>100.69877123000001</v>
      </c>
      <c r="F15" s="8">
        <f>E15/O15</f>
        <v>0.66580023649411157</v>
      </c>
      <c r="G15" s="65">
        <f>buu_wk!E32</f>
        <v>89.606311070000004</v>
      </c>
      <c r="H15" s="8">
        <f>G15/P15</f>
        <v>0.63928364690448947</v>
      </c>
      <c r="I15" s="27"/>
      <c r="J15" s="65">
        <f>buu_wk!F32</f>
        <v>50.545950099999999</v>
      </c>
      <c r="K15" s="8">
        <f>J15/O15</f>
        <v>0.33419976350588843</v>
      </c>
      <c r="L15" s="65">
        <f>buu_wk!G32</f>
        <v>50.560438859999998</v>
      </c>
      <c r="M15" s="8">
        <f>L15/P15</f>
        <v>0.36071635309551048</v>
      </c>
      <c r="N15" s="27"/>
      <c r="O15" s="65">
        <f>E15+J15</f>
        <v>151.24472133</v>
      </c>
      <c r="P15" s="65">
        <f>G15+L15</f>
        <v>140.16674993000001</v>
      </c>
      <c r="Q15" s="8">
        <f>P15/O15</f>
        <v>0.92675465760005582</v>
      </c>
    </row>
    <row r="16" spans="1:20">
      <c r="B16" s="9"/>
      <c r="C16" s="9" t="s">
        <v>61</v>
      </c>
      <c r="D16" s="15"/>
      <c r="E16" s="16">
        <f>E15/E7-1</f>
        <v>-7.3093737302578288E-2</v>
      </c>
      <c r="F16" s="16"/>
      <c r="G16" s="16">
        <f>G15/G7-1</f>
        <v>-6.9917946092151961E-2</v>
      </c>
      <c r="H16" s="16"/>
      <c r="I16" s="16"/>
      <c r="J16" s="16">
        <f>J15/J7-1</f>
        <v>0.3783225611244283</v>
      </c>
      <c r="K16" s="16"/>
      <c r="L16" s="16">
        <f>L15/L7-1</f>
        <v>0.37807703686803418</v>
      </c>
      <c r="M16" s="16"/>
      <c r="N16" s="16"/>
      <c r="O16" s="16">
        <f>O15/O7-1</f>
        <v>4.0829436303185807E-2</v>
      </c>
      <c r="P16" s="16">
        <f>P15/P7-1</f>
        <v>5.3635827982759787E-2</v>
      </c>
      <c r="Q16" s="16"/>
      <c r="R16" s="15"/>
      <c r="S16" s="15"/>
      <c r="T16" s="15"/>
    </row>
    <row r="17" spans="1:20" ht="16.149999999999999" customHeight="1">
      <c r="B17" s="3" t="str">
        <f>buu_wk!C33</f>
        <v>Q4</v>
      </c>
      <c r="C17" s="3" t="s">
        <v>59</v>
      </c>
      <c r="D17" s="15"/>
      <c r="E17" s="65">
        <f>buu_wk!D33</f>
        <v>101.78037162</v>
      </c>
      <c r="F17" s="8">
        <f>E17/O17</f>
        <v>0.6665146336927259</v>
      </c>
      <c r="G17" s="65">
        <f>buu_wk!E33</f>
        <v>90.041976930000004</v>
      </c>
      <c r="H17" s="8">
        <f>G17/P17</f>
        <v>0.63865660660497237</v>
      </c>
      <c r="I17" s="27"/>
      <c r="J17" s="65">
        <f>buu_wk!F33</f>
        <v>50.925010190000002</v>
      </c>
      <c r="K17" s="8">
        <f>J17/O17</f>
        <v>0.3334853663072741</v>
      </c>
      <c r="L17" s="65">
        <f>buu_wk!G33</f>
        <v>50.944550100000001</v>
      </c>
      <c r="M17" s="8">
        <f>L17/P17</f>
        <v>0.36134339339502775</v>
      </c>
      <c r="N17" s="27"/>
      <c r="O17" s="65">
        <f>E17+J17</f>
        <v>152.70538181000001</v>
      </c>
      <c r="P17" s="65">
        <f>G17+L17</f>
        <v>140.98652702999999</v>
      </c>
      <c r="Q17" s="8">
        <f>P17/O17</f>
        <v>0.92325840359326095</v>
      </c>
    </row>
    <row r="18" spans="1:20" ht="16.149999999999999" customHeight="1">
      <c r="B18" s="4"/>
      <c r="C18" s="4" t="s">
        <v>61</v>
      </c>
      <c r="D18" s="15"/>
      <c r="E18" s="13">
        <f>E17/E8-1</f>
        <v>-0.10490268932966218</v>
      </c>
      <c r="F18" s="13"/>
      <c r="G18" s="13">
        <f>G17/G8-1</f>
        <v>-9.0088429278742499E-2</v>
      </c>
      <c r="H18" s="13"/>
      <c r="I18" s="27"/>
      <c r="J18" s="13">
        <f>J17/J8-1</f>
        <v>0.29013901264966968</v>
      </c>
      <c r="K18" s="13"/>
      <c r="L18" s="13">
        <f>L17/L8-1</f>
        <v>0.2904490370980668</v>
      </c>
      <c r="M18" s="13"/>
      <c r="N18" s="27"/>
      <c r="O18" s="13">
        <f>O17/O8-1</f>
        <v>-3.1063797985713126E-3</v>
      </c>
      <c r="P18" s="13">
        <f>P17/P8-1</f>
        <v>1.8431221615440085E-2</v>
      </c>
      <c r="Q18" s="13"/>
    </row>
    <row r="19" spans="1:20">
      <c r="B19" s="3" t="s">
        <v>60</v>
      </c>
      <c r="C19" s="3" t="s">
        <v>59</v>
      </c>
      <c r="D19" s="15"/>
      <c r="E19" s="65">
        <f>E15+E13+E11+E17</f>
        <v>399.57859408000002</v>
      </c>
      <c r="F19" s="8">
        <f>E19/O19</f>
        <v>0.66380127963475544</v>
      </c>
      <c r="G19" s="65">
        <f>G15+G13+G11+G17</f>
        <v>351.72067262000007</v>
      </c>
      <c r="H19" s="8">
        <f>G19/P19</f>
        <v>0.63467258576119712</v>
      </c>
      <c r="I19" s="27"/>
      <c r="J19" s="65">
        <f>J15+J13+J11+J17</f>
        <v>202.37654873</v>
      </c>
      <c r="K19" s="8">
        <f>J19/O19</f>
        <v>0.33619872036524445</v>
      </c>
      <c r="L19" s="65">
        <f>L15+L13+L11+L17</f>
        <v>202.45589102999998</v>
      </c>
      <c r="M19" s="8">
        <f>L19/P19</f>
        <v>0.36532741423880311</v>
      </c>
      <c r="N19" s="27"/>
      <c r="O19" s="65">
        <f>O15+O13+O11+O17</f>
        <v>601.9551428100001</v>
      </c>
      <c r="P19" s="65">
        <f>P15+P13+P11+P17</f>
        <v>554.17656364999993</v>
      </c>
      <c r="Q19" s="8">
        <f>P19/O19</f>
        <v>0.92062767511717913</v>
      </c>
    </row>
    <row r="20" spans="1:20">
      <c r="A20" s="4"/>
      <c r="B20" s="4"/>
      <c r="C20" s="4" t="s">
        <v>61</v>
      </c>
      <c r="D20" s="15"/>
      <c r="E20" s="13">
        <f>E19/E9-1</f>
        <v>-8.0990960962795233E-2</v>
      </c>
      <c r="F20" s="13"/>
      <c r="G20" s="13">
        <f>G19/G9-1</f>
        <v>-6.72206438856634E-2</v>
      </c>
      <c r="H20" s="13"/>
      <c r="I20" s="16"/>
      <c r="J20" s="13">
        <f>J19/J9-1</f>
        <v>0.30799686815975647</v>
      </c>
      <c r="K20" s="13"/>
      <c r="L20" s="13">
        <f>L19/L9-1</f>
        <v>0.30822173643574602</v>
      </c>
      <c r="M20" s="13"/>
      <c r="N20" s="16"/>
      <c r="O20" s="13">
        <f>O19/O9-1</f>
        <v>2.1101658417006508E-2</v>
      </c>
      <c r="P20" s="13">
        <f>P19/P9-1</f>
        <v>4.2030116370757487E-2</v>
      </c>
      <c r="Q20" s="13"/>
    </row>
    <row r="21" spans="1:20">
      <c r="A21" s="92">
        <f>buu_wk!B51</f>
        <v>2006</v>
      </c>
      <c r="B21" s="92"/>
      <c r="C21" s="92"/>
      <c r="D21" s="15"/>
      <c r="E21" s="27"/>
      <c r="F21" s="16"/>
      <c r="G21" s="27"/>
      <c r="H21" s="16"/>
      <c r="I21" s="27"/>
      <c r="J21" s="27"/>
      <c r="K21" s="16"/>
      <c r="L21" s="27"/>
      <c r="M21" s="16"/>
      <c r="N21" s="27"/>
      <c r="O21" s="27"/>
      <c r="P21" s="27"/>
      <c r="Q21" s="16"/>
    </row>
    <row r="22" spans="1:20">
      <c r="A22" s="15"/>
      <c r="B22" s="9" t="str">
        <f>buu_wk!C51</f>
        <v>Q1</v>
      </c>
      <c r="C22" s="9" t="s">
        <v>59</v>
      </c>
      <c r="D22" s="15"/>
      <c r="E22" s="68">
        <f>buu_wk!D51</f>
        <v>97.241454559999994</v>
      </c>
      <c r="F22" s="16">
        <f>E22/O22</f>
        <v>0.66030761968618135</v>
      </c>
      <c r="G22" s="68">
        <f>buu_wk!E51</f>
        <v>90.259714939999995</v>
      </c>
      <c r="H22" s="16">
        <f>G22/P22</f>
        <v>0.64346791880185461</v>
      </c>
      <c r="I22" s="27"/>
      <c r="J22" s="68">
        <f>buu_wk!F51</f>
        <v>50.025442959999999</v>
      </c>
      <c r="K22" s="16">
        <f>J22/O22</f>
        <v>0.33969238031381871</v>
      </c>
      <c r="L22" s="68">
        <f>buu_wk!G51</f>
        <v>50.01101543</v>
      </c>
      <c r="M22" s="16">
        <f>L22/P22</f>
        <v>0.35653208119814539</v>
      </c>
      <c r="N22" s="27"/>
      <c r="O22" s="68">
        <f>E22+J22</f>
        <v>147.26689751999999</v>
      </c>
      <c r="P22" s="68">
        <f>G22+L22</f>
        <v>140.27073037</v>
      </c>
      <c r="Q22" s="16">
        <f>P22/O22</f>
        <v>0.95249328078599704</v>
      </c>
    </row>
    <row r="23" spans="1:20">
      <c r="A23" s="9"/>
      <c r="B23" s="9"/>
      <c r="C23" s="9" t="s">
        <v>61</v>
      </c>
      <c r="D23" s="15"/>
      <c r="E23" s="16">
        <f>E22/E11-1</f>
        <v>1.4615410374072546E-2</v>
      </c>
      <c r="F23" s="16"/>
      <c r="G23" s="16">
        <f>G22/G11-1</f>
        <v>0.11319681467347875</v>
      </c>
      <c r="H23" s="16"/>
      <c r="I23" s="16"/>
      <c r="J23" s="16">
        <f>J22/J11-1</f>
        <v>-1.2914190799596659E-3</v>
      </c>
      <c r="K23" s="16"/>
      <c r="L23" s="16">
        <f>L22/L11-1</f>
        <v>-2.0785137141915433E-3</v>
      </c>
      <c r="M23" s="16"/>
      <c r="N23" s="16"/>
      <c r="O23" s="16">
        <f>O22/O11-1</f>
        <v>9.155459655036724E-3</v>
      </c>
      <c r="P23" s="16">
        <f>P22/P11-1</f>
        <v>6.916336814595625E-2</v>
      </c>
      <c r="Q23" s="16"/>
    </row>
    <row r="24" spans="1:20">
      <c r="B24" s="3" t="str">
        <f>buu_wk!C57</f>
        <v>Q2</v>
      </c>
      <c r="C24" s="3" t="s">
        <v>59</v>
      </c>
      <c r="D24" s="15"/>
      <c r="E24" s="65">
        <f>buu_wk!D57</f>
        <v>101.97006114</v>
      </c>
      <c r="F24" s="8">
        <f>E24/O24</f>
        <v>0.66309824708872644</v>
      </c>
      <c r="G24" s="65">
        <f>buu_wk!E57</f>
        <v>97.266390479999998</v>
      </c>
      <c r="H24" s="8">
        <f>G24/P24</f>
        <v>0.65276686333513667</v>
      </c>
      <c r="I24" s="27"/>
      <c r="J24" s="65">
        <f>buu_wk!F57</f>
        <v>51.808148330000002</v>
      </c>
      <c r="K24" s="8">
        <f>J24/O24</f>
        <v>0.3369017529112735</v>
      </c>
      <c r="L24" s="65">
        <f>buu_wk!G57</f>
        <v>51.739933129999997</v>
      </c>
      <c r="M24" s="8">
        <f>L24/P24</f>
        <v>0.3472331366648635</v>
      </c>
      <c r="N24" s="27"/>
      <c r="O24" s="65">
        <f>E24+J24</f>
        <v>153.77820947000001</v>
      </c>
      <c r="P24" s="65">
        <f>G24+L24</f>
        <v>149.00632360999998</v>
      </c>
      <c r="Q24" s="8">
        <f>P24/O24</f>
        <v>0.96896903744394969</v>
      </c>
    </row>
    <row r="25" spans="1:20">
      <c r="A25" s="9"/>
      <c r="B25" s="9"/>
      <c r="C25" s="9" t="s">
        <v>61</v>
      </c>
      <c r="D25" s="15"/>
      <c r="E25" s="16">
        <f>E24/E13-1</f>
        <v>7.0247092215969253E-3</v>
      </c>
      <c r="F25" s="16"/>
      <c r="G25" s="16">
        <f>G24/G13-1</f>
        <v>6.8969011715826589E-2</v>
      </c>
      <c r="H25" s="16"/>
      <c r="I25" s="16"/>
      <c r="J25" s="16">
        <f>J24/J13-1</f>
        <v>1.9535201226768883E-2</v>
      </c>
      <c r="K25" s="16"/>
      <c r="L25" s="16">
        <f>L24/L13-1</f>
        <v>1.7786933133439486E-2</v>
      </c>
      <c r="M25" s="16"/>
      <c r="N25" s="16"/>
      <c r="O25" s="16">
        <f>O24/O13-1</f>
        <v>1.1205078788232736E-2</v>
      </c>
      <c r="P25" s="16">
        <f>P24/P13-1</f>
        <v>5.0623521072271416E-2</v>
      </c>
      <c r="Q25" s="16"/>
    </row>
    <row r="26" spans="1:20">
      <c r="A26" s="9"/>
      <c r="B26" s="9" t="str">
        <f>buu_wk!C64</f>
        <v>Q3</v>
      </c>
      <c r="C26" s="9" t="s">
        <v>59</v>
      </c>
      <c r="D26" s="15"/>
      <c r="E26" s="65">
        <f>buu_wk!D64</f>
        <v>102.74980956</v>
      </c>
      <c r="F26" s="16">
        <f>E26/O26</f>
        <v>0.6615043243913804</v>
      </c>
      <c r="G26" s="65">
        <f>buu_wk!E64</f>
        <v>96.142458500000004</v>
      </c>
      <c r="H26" s="16">
        <f>G26/P26</f>
        <v>0.64674820511752928</v>
      </c>
      <c r="I26" s="27"/>
      <c r="J26" s="65">
        <f>buu_wk!F64</f>
        <v>52.577685320000001</v>
      </c>
      <c r="K26" s="16">
        <f>J26/O26</f>
        <v>0.33849567560861954</v>
      </c>
      <c r="L26" s="65">
        <f>buu_wk!G64</f>
        <v>52.512702410000003</v>
      </c>
      <c r="M26" s="16">
        <f>L26/P26</f>
        <v>0.35325179488247072</v>
      </c>
      <c r="N26" s="27"/>
      <c r="O26" s="65">
        <f>E26+J26</f>
        <v>155.32749488000002</v>
      </c>
      <c r="P26" s="65">
        <f>G26+L26</f>
        <v>148.65516091000001</v>
      </c>
      <c r="Q26" s="16">
        <f>P26/O26</f>
        <v>0.95704344568774002</v>
      </c>
    </row>
    <row r="27" spans="1:20">
      <c r="A27" s="9"/>
      <c r="B27" s="9"/>
      <c r="C27" s="9" t="s">
        <v>61</v>
      </c>
      <c r="D27" s="15"/>
      <c r="E27" s="16">
        <f>E26/E15-1</f>
        <v>2.0368057176341825E-2</v>
      </c>
      <c r="F27" s="16"/>
      <c r="G27" s="16">
        <f>G26/G15-1</f>
        <v>7.2942936183300722E-2</v>
      </c>
      <c r="H27" s="16"/>
      <c r="I27" s="16"/>
      <c r="J27" s="16">
        <f>J26/J15-1</f>
        <v>4.0195806310504123E-2</v>
      </c>
      <c r="K27" s="16"/>
      <c r="L27" s="16">
        <f>L26/L15-1</f>
        <v>3.8612472399730313E-2</v>
      </c>
      <c r="M27" s="16"/>
      <c r="N27" s="16"/>
      <c r="O27" s="16">
        <f>O26/O15-1</f>
        <v>2.699448624783285E-2</v>
      </c>
      <c r="P27" s="16">
        <f>P26/P15-1</f>
        <v>6.0559376487213656E-2</v>
      </c>
      <c r="Q27" s="16"/>
      <c r="R27" s="15"/>
      <c r="S27" s="15"/>
      <c r="T27" s="15"/>
    </row>
    <row r="28" spans="1:20" ht="16.149999999999999" customHeight="1">
      <c r="B28" s="3" t="str">
        <f>buu_wk!C71</f>
        <v>Q4</v>
      </c>
      <c r="C28" s="3" t="s">
        <v>59</v>
      </c>
      <c r="D28" s="15"/>
      <c r="E28" s="65">
        <f>buu_wk!D71</f>
        <v>104.29250931999999</v>
      </c>
      <c r="F28" s="8">
        <f>E28/O28</f>
        <v>0.6657005560802276</v>
      </c>
      <c r="G28" s="65">
        <f>buu_wk!E71</f>
        <v>100.35496338999999</v>
      </c>
      <c r="H28" s="8">
        <f>G28/P28</f>
        <v>0.65741535809011198</v>
      </c>
      <c r="I28" s="27"/>
      <c r="J28" s="65">
        <f>buu_wk!F71</f>
        <v>52.373289389999997</v>
      </c>
      <c r="K28" s="8">
        <f>J28/O28</f>
        <v>0.3342994439197724</v>
      </c>
      <c r="L28" s="65">
        <f>buu_wk!G71</f>
        <v>52.29581082</v>
      </c>
      <c r="M28" s="8">
        <f>L28/P28</f>
        <v>0.34258464190988785</v>
      </c>
      <c r="N28" s="27"/>
      <c r="O28" s="65">
        <f>E28+J28</f>
        <v>156.66579870999999</v>
      </c>
      <c r="P28" s="65">
        <f>G28+L28</f>
        <v>152.65077421000001</v>
      </c>
      <c r="Q28" s="8">
        <f>P28/O28</f>
        <v>0.9743720420598494</v>
      </c>
    </row>
    <row r="29" spans="1:20" ht="16.149999999999999" customHeight="1">
      <c r="B29" s="4"/>
      <c r="C29" s="4" t="s">
        <v>61</v>
      </c>
      <c r="D29" s="15"/>
      <c r="E29" s="13">
        <f>E28/E17-1</f>
        <v>2.4681946626989415E-2</v>
      </c>
      <c r="F29" s="13"/>
      <c r="G29" s="13">
        <f>G28/G17-1</f>
        <v>0.11453531798860284</v>
      </c>
      <c r="H29" s="13"/>
      <c r="I29" s="27"/>
      <c r="J29" s="13">
        <f>J28/J17-1</f>
        <v>2.8439448408483337E-2</v>
      </c>
      <c r="K29" s="13"/>
      <c r="L29" s="13">
        <f>L28/L17-1</f>
        <v>2.6524146691796924E-2</v>
      </c>
      <c r="M29" s="13"/>
      <c r="N29" s="27"/>
      <c r="O29" s="13">
        <f>O28/O17-1</f>
        <v>2.5935018484991135E-2</v>
      </c>
      <c r="P29" s="13">
        <f>P28/P17-1</f>
        <v>8.2733062695544035E-2</v>
      </c>
      <c r="Q29" s="13"/>
    </row>
    <row r="30" spans="1:20">
      <c r="B30" s="3" t="s">
        <v>60</v>
      </c>
      <c r="C30" s="3" t="s">
        <v>59</v>
      </c>
      <c r="D30" s="15"/>
      <c r="E30" s="65">
        <f>E26+E24+E22+E28</f>
        <v>406.25383457999999</v>
      </c>
      <c r="F30" s="8">
        <f>E30/O30</f>
        <v>0.66268904883550594</v>
      </c>
      <c r="G30" s="65">
        <f>G26+G24+G22+G28</f>
        <v>384.02352730999996</v>
      </c>
      <c r="H30" s="8">
        <f>G30/P30</f>
        <v>0.65024481638934495</v>
      </c>
      <c r="I30" s="27"/>
      <c r="J30" s="65">
        <f>J26+J24+J22+J28</f>
        <v>206.78456599999998</v>
      </c>
      <c r="K30" s="8">
        <f>J30/O30</f>
        <v>0.33731095116449422</v>
      </c>
      <c r="L30" s="65">
        <f>L26+L24+L22+L28</f>
        <v>206.55946179</v>
      </c>
      <c r="M30" s="8">
        <f>L30/P30</f>
        <v>0.34975518361065511</v>
      </c>
      <c r="N30" s="27"/>
      <c r="O30" s="65">
        <f>O26+O24+O22+O28</f>
        <v>613.03840057999992</v>
      </c>
      <c r="P30" s="65">
        <f>P26+P24+P22+P28</f>
        <v>590.58298909999996</v>
      </c>
      <c r="Q30" s="8">
        <f>P30/O30</f>
        <v>0.96337030199290175</v>
      </c>
    </row>
    <row r="31" spans="1:20">
      <c r="A31" s="4"/>
      <c r="B31" s="4"/>
      <c r="C31" s="4" t="s">
        <v>61</v>
      </c>
      <c r="D31" s="15"/>
      <c r="E31" s="13">
        <f>E30/E19-1</f>
        <v>1.6705700953198566E-2</v>
      </c>
      <c r="F31" s="13"/>
      <c r="G31" s="13">
        <f>G30/G19-1</f>
        <v>9.1842354472294385E-2</v>
      </c>
      <c r="H31" s="13"/>
      <c r="I31" s="16"/>
      <c r="J31" s="13">
        <f>J30/J19-1</f>
        <v>2.178126515973422E-2</v>
      </c>
      <c r="K31" s="13"/>
      <c r="L31" s="13">
        <f>L30/L19-1</f>
        <v>2.0268961990303147E-2</v>
      </c>
      <c r="M31" s="13"/>
      <c r="N31" s="16"/>
      <c r="O31" s="13">
        <f>O30/O19-1</f>
        <v>1.8412099144567096E-2</v>
      </c>
      <c r="P31" s="13">
        <f>P30/P19-1</f>
        <v>6.5694632068549863E-2</v>
      </c>
      <c r="Q31" s="13"/>
    </row>
    <row r="32" spans="1:20">
      <c r="A32" s="34" t="str">
        <f>說明!B18</f>
        <v>1.</v>
      </c>
      <c r="B32" s="34" t="str">
        <f>說明!C18</f>
        <v>資料來源：總額各案件核定醫療費用分攤明細(PHFB_DECIDE_DIST)</v>
      </c>
      <c r="E32" s="7"/>
      <c r="F32" s="8"/>
      <c r="G32" s="7"/>
      <c r="H32" s="8"/>
      <c r="J32" s="7"/>
      <c r="K32" s="8"/>
      <c r="L32" s="7"/>
      <c r="M32" s="8"/>
      <c r="O32" s="7"/>
      <c r="P32" s="7"/>
      <c r="Q32" s="8"/>
    </row>
    <row r="33" spans="1:17">
      <c r="A33" s="34" t="str">
        <f>說明!B19</f>
        <v>2.</v>
      </c>
      <c r="B33" s="34" t="str">
        <f>說明!C19</f>
        <v>資料處理：</v>
      </c>
      <c r="E33" s="7"/>
      <c r="F33" s="8"/>
      <c r="G33" s="7"/>
      <c r="H33" s="8"/>
      <c r="J33" s="7"/>
      <c r="K33" s="8"/>
      <c r="L33" s="7"/>
      <c r="M33" s="8"/>
      <c r="O33" s="7"/>
      <c r="P33" s="7"/>
      <c r="Q33" s="8"/>
    </row>
    <row r="34" spans="1:17">
      <c r="A34" s="34"/>
      <c r="B34" s="34" t="str">
        <f>說明!C20</f>
        <v>※本表僅含當季核定之送核、補報資料</v>
      </c>
      <c r="E34" s="7"/>
      <c r="F34" s="8"/>
      <c r="G34" s="7"/>
      <c r="H34" s="8"/>
      <c r="J34" s="7"/>
      <c r="K34" s="8"/>
      <c r="L34" s="7"/>
      <c r="M34" s="8"/>
      <c r="O34" s="7"/>
      <c r="P34" s="7"/>
      <c r="Q34" s="8"/>
    </row>
    <row r="35" spans="1:17">
      <c r="A35" s="34"/>
      <c r="B35" s="34" t="str">
        <f>說明!C21</f>
        <v>※本表不含申複、爭議審議等之核定醫療點數及費用</v>
      </c>
      <c r="E35" s="7"/>
      <c r="F35" s="8"/>
      <c r="G35" s="7"/>
      <c r="H35" s="8"/>
      <c r="J35" s="7"/>
      <c r="K35" s="8"/>
      <c r="L35" s="7"/>
      <c r="M35" s="8"/>
      <c r="O35" s="7"/>
      <c r="P35" s="7"/>
      <c r="Q35" s="8"/>
    </row>
    <row r="36" spans="1:17">
      <c r="A36" s="34"/>
      <c r="B36" s="34" t="str">
        <f>說明!C22</f>
        <v>※本表不含代辦、總額外及追扣、補付付款之項目</v>
      </c>
      <c r="E36" s="7"/>
      <c r="F36" s="8"/>
      <c r="G36" s="7"/>
      <c r="H36" s="8"/>
      <c r="J36" s="7"/>
      <c r="K36" s="8"/>
      <c r="L36" s="7"/>
      <c r="M36" s="8"/>
      <c r="O36" s="7"/>
      <c r="P36" s="7"/>
      <c r="Q36" s="8"/>
    </row>
    <row r="37" spans="1:17">
      <c r="A37" s="34"/>
      <c r="B37" s="34" t="str">
        <f>說明!C23</f>
        <v>※本表所謂浮動點值部分係指各總額別中一般部門預算之浮動點值部份</v>
      </c>
      <c r="E37" s="7"/>
      <c r="F37" s="8"/>
      <c r="G37" s="7"/>
      <c r="H37" s="8"/>
      <c r="J37" s="7"/>
      <c r="K37" s="8"/>
      <c r="L37" s="7"/>
      <c r="M37" s="8"/>
      <c r="O37" s="7"/>
      <c r="P37" s="7"/>
      <c r="Q37" s="8"/>
    </row>
    <row r="38" spans="1:17">
      <c r="A38" s="34"/>
      <c r="B38" s="34" t="str">
        <f>說明!C24</f>
        <v>※本表所謂固定點值部分係指各總額別中一般部門預算之非浮動點值及專款部份</v>
      </c>
    </row>
    <row r="39" spans="1:17">
      <c r="A39" s="34"/>
      <c r="B39" s="34" t="str">
        <f>說明!C25</f>
        <v>※層級別中不含處方釋出之醫療點數及費用</v>
      </c>
    </row>
    <row r="40" spans="1:17">
      <c r="A40" s="34"/>
      <c r="B40" s="34"/>
    </row>
    <row r="41" spans="1:17">
      <c r="A41" s="34"/>
      <c r="B41" s="34"/>
    </row>
    <row r="42" spans="1:17">
      <c r="A42" s="34"/>
      <c r="B42" s="34"/>
    </row>
  </sheetData>
  <mergeCells count="7">
    <mergeCell ref="A1:Q1"/>
    <mergeCell ref="J2:M2"/>
    <mergeCell ref="O2:Q2"/>
    <mergeCell ref="A21:C21"/>
    <mergeCell ref="A4:C4"/>
    <mergeCell ref="A10:C10"/>
    <mergeCell ref="E2:H2"/>
  </mergeCells>
  <phoneticPr fontId="5" type="noConversion"/>
  <hyperlinks>
    <hyperlink ref="A1:Q1" location="目錄!A1" display="全民健康保險醫療服務核定醫療點數及費用統計_總表"/>
  </hyperlinks>
  <printOptions horizontalCentered="1"/>
  <pageMargins left="0.55118110236220474" right="0.55118110236220474" top="0.78740157480314965" bottom="0.78740157480314965" header="0.51181102362204722" footer="0.51181102362204722"/>
  <pageSetup paperSize="9" scale="91" orientation="landscape" r:id="rId1"/>
  <headerFooter alignWithMargins="0"/>
</worksheet>
</file>

<file path=xl/worksheets/sheet14.xml><?xml version="1.0" encoding="utf-8"?>
<worksheet xmlns="http://schemas.openxmlformats.org/spreadsheetml/2006/main" xmlns:r="http://schemas.openxmlformats.org/officeDocument/2006/relationships">
  <sheetPr codeName="Sheet4">
    <pageSetUpPr fitToPage="1"/>
  </sheetPr>
  <dimension ref="A1:V42"/>
  <sheetViews>
    <sheetView showGridLines="0" zoomScale="75" workbookViewId="0">
      <pane ySplit="3" topLeftCell="A4" activePane="bottomLeft" state="frozen"/>
      <selection sqref="A1:D1"/>
      <selection pane="bottomLeft" activeCell="R3" sqref="R3"/>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1.375" style="3" customWidth="1"/>
    <col min="6" max="8" width="11.5" style="3" bestFit="1" customWidth="1"/>
    <col min="9" max="9" width="1.875" style="3" customWidth="1"/>
    <col min="10" max="10" width="11.5" style="3" customWidth="1"/>
    <col min="11" max="13" width="11.5" style="3" bestFit="1" customWidth="1"/>
    <col min="14" max="14" width="2.25" style="3" customWidth="1"/>
    <col min="15" max="15" width="12.375" style="3" bestFit="1" customWidth="1"/>
    <col min="16" max="16" width="11" style="3" customWidth="1"/>
    <col min="17" max="17" width="11.5" style="3" bestFit="1" customWidth="1"/>
    <col min="18" max="16384" width="8.875" style="2"/>
  </cols>
  <sheetData>
    <row r="1" spans="1:22" ht="40.9" customHeight="1">
      <c r="A1" s="89" t="s">
        <v>207</v>
      </c>
      <c r="B1" s="89"/>
      <c r="C1" s="89"/>
      <c r="D1" s="89"/>
      <c r="E1" s="89"/>
      <c r="F1" s="89"/>
      <c r="G1" s="89"/>
      <c r="H1" s="89"/>
      <c r="I1" s="89"/>
      <c r="J1" s="89"/>
      <c r="K1" s="89"/>
      <c r="L1" s="89"/>
      <c r="M1" s="89"/>
      <c r="N1" s="89"/>
      <c r="O1" s="89"/>
      <c r="P1" s="89"/>
      <c r="Q1" s="89"/>
    </row>
    <row r="2" spans="1:22" s="3" customFormat="1">
      <c r="E2" s="90" t="s">
        <v>42</v>
      </c>
      <c r="F2" s="90"/>
      <c r="G2" s="90"/>
      <c r="H2" s="90"/>
      <c r="J2" s="90" t="s">
        <v>43</v>
      </c>
      <c r="K2" s="90"/>
      <c r="L2" s="90"/>
      <c r="M2" s="90"/>
      <c r="O2" s="90" t="s">
        <v>44</v>
      </c>
      <c r="P2" s="90"/>
      <c r="Q2" s="90"/>
    </row>
    <row r="3" spans="1:22" s="3" customFormat="1" ht="33">
      <c r="A3" s="4" t="s">
        <v>45</v>
      </c>
      <c r="B3" s="4" t="s">
        <v>46</v>
      </c>
      <c r="C3" s="4" t="s">
        <v>47</v>
      </c>
      <c r="E3" s="5" t="s">
        <v>218</v>
      </c>
      <c r="F3" s="6" t="s">
        <v>48</v>
      </c>
      <c r="G3" s="35" t="s">
        <v>219</v>
      </c>
      <c r="H3" s="6" t="s">
        <v>48</v>
      </c>
      <c r="J3" s="5" t="s">
        <v>218</v>
      </c>
      <c r="K3" s="6" t="s">
        <v>48</v>
      </c>
      <c r="L3" s="35" t="s">
        <v>219</v>
      </c>
      <c r="M3" s="6" t="s">
        <v>48</v>
      </c>
      <c r="O3" s="5" t="s">
        <v>220</v>
      </c>
      <c r="P3" s="35" t="s">
        <v>221</v>
      </c>
      <c r="Q3" s="35" t="s">
        <v>216</v>
      </c>
      <c r="R3" s="84"/>
    </row>
    <row r="4" spans="1:22" s="3" customFormat="1">
      <c r="A4" s="88">
        <f>buu_wk!B2</f>
        <v>2004</v>
      </c>
      <c r="B4" s="88"/>
      <c r="C4" s="88"/>
      <c r="D4" s="9"/>
      <c r="E4" s="10"/>
      <c r="F4" s="9"/>
      <c r="G4" s="9"/>
      <c r="H4" s="9"/>
      <c r="I4" s="9"/>
      <c r="J4" s="10"/>
      <c r="K4" s="9"/>
      <c r="L4" s="9"/>
      <c r="M4" s="9"/>
      <c r="N4" s="9"/>
      <c r="O4" s="10"/>
      <c r="P4" s="9"/>
      <c r="Q4" s="9"/>
    </row>
    <row r="5" spans="1:22">
      <c r="A5" s="2"/>
      <c r="B5" s="3" t="str">
        <f>buu_wk!C2</f>
        <v>Q1</v>
      </c>
      <c r="C5" s="3" t="s">
        <v>49</v>
      </c>
      <c r="D5" s="15"/>
      <c r="E5" s="65">
        <f>buu_wk!D2</f>
        <v>149.98860375999999</v>
      </c>
      <c r="F5" s="8">
        <f>E5/O5</f>
        <v>0.72700166935348676</v>
      </c>
      <c r="G5" s="65">
        <f>buu_wk!E2</f>
        <v>133.00639562999999</v>
      </c>
      <c r="H5" s="8">
        <f>G5/P5</f>
        <v>0.70248865893819368</v>
      </c>
      <c r="I5" s="16"/>
      <c r="J5" s="65">
        <f>buu_wk!F2</f>
        <v>56.32261956</v>
      </c>
      <c r="K5" s="8">
        <f>J5/O5</f>
        <v>0.2729983306465133</v>
      </c>
      <c r="L5" s="65">
        <f>buu_wk!G2</f>
        <v>56.329608499999999</v>
      </c>
      <c r="M5" s="8">
        <f>L5/P5</f>
        <v>0.29751134106180632</v>
      </c>
      <c r="N5" s="16"/>
      <c r="O5" s="65">
        <f>E5+J5</f>
        <v>206.31122331999998</v>
      </c>
      <c r="P5" s="65">
        <f>G5+L5</f>
        <v>189.33600412999999</v>
      </c>
      <c r="Q5" s="8">
        <f>P5/O5</f>
        <v>0.91772033088248184</v>
      </c>
    </row>
    <row r="6" spans="1:22">
      <c r="B6" s="3" t="str">
        <f>buu_wk!C3</f>
        <v>Q2</v>
      </c>
      <c r="C6" s="3" t="s">
        <v>49</v>
      </c>
      <c r="D6" s="15"/>
      <c r="E6" s="65">
        <f>buu_wk!D3</f>
        <v>157.35882347</v>
      </c>
      <c r="F6" s="8">
        <f>E6/O6</f>
        <v>0.73340539734066712</v>
      </c>
      <c r="G6" s="65">
        <f>buu_wk!E3</f>
        <v>139.45309635999999</v>
      </c>
      <c r="H6" s="8">
        <f>G6/P6</f>
        <v>0.70907301485299934</v>
      </c>
      <c r="I6" s="27"/>
      <c r="J6" s="65">
        <f>buu_wk!F3</f>
        <v>57.200305819999997</v>
      </c>
      <c r="K6" s="8">
        <f>J6/O6</f>
        <v>0.26659460265933299</v>
      </c>
      <c r="L6" s="65">
        <f>buu_wk!G3</f>
        <v>57.216489760000002</v>
      </c>
      <c r="M6" s="8">
        <f>L6/P6</f>
        <v>0.29092698514700066</v>
      </c>
      <c r="N6" s="27"/>
      <c r="O6" s="65">
        <f>E6+J6</f>
        <v>214.55912928999999</v>
      </c>
      <c r="P6" s="65">
        <f>G6+L6</f>
        <v>196.66958611999999</v>
      </c>
      <c r="Q6" s="8">
        <f>P6/O6</f>
        <v>0.91662185044654831</v>
      </c>
    </row>
    <row r="7" spans="1:22">
      <c r="B7" s="3" t="str">
        <f>buu_wk!C4</f>
        <v>Q3</v>
      </c>
      <c r="C7" s="3" t="s">
        <v>49</v>
      </c>
      <c r="D7" s="15"/>
      <c r="E7" s="65">
        <f>buu_wk!D4</f>
        <v>161.48355581999999</v>
      </c>
      <c r="F7" s="8">
        <f>E7/O7</f>
        <v>0.74309679809100027</v>
      </c>
      <c r="G7" s="65">
        <f>buu_wk!E4</f>
        <v>140.81397023</v>
      </c>
      <c r="H7" s="8">
        <f>G7/P7</f>
        <v>0.71594587985886304</v>
      </c>
      <c r="I7" s="27"/>
      <c r="J7" s="65">
        <f>buu_wk!F4</f>
        <v>55.828046430000001</v>
      </c>
      <c r="K7" s="8">
        <f>J7/O7</f>
        <v>0.25690320190899979</v>
      </c>
      <c r="L7" s="65">
        <f>buu_wk!G4</f>
        <v>55.868452550000001</v>
      </c>
      <c r="M7" s="8">
        <f>L7/P7</f>
        <v>0.2840541201411369</v>
      </c>
      <c r="N7" s="27"/>
      <c r="O7" s="65">
        <f>E7+J7</f>
        <v>217.31160224999999</v>
      </c>
      <c r="P7" s="65">
        <f>G7+L7</f>
        <v>196.68242278</v>
      </c>
      <c r="Q7" s="8">
        <f>P7/O7</f>
        <v>0.90507097064119135</v>
      </c>
    </row>
    <row r="8" spans="1:22">
      <c r="B8" s="4" t="str">
        <f>buu_wk!C5</f>
        <v>Q4</v>
      </c>
      <c r="C8" s="4" t="s">
        <v>49</v>
      </c>
      <c r="D8" s="15"/>
      <c r="E8" s="66">
        <f>buu_wk!D5</f>
        <v>165.88498933</v>
      </c>
      <c r="F8" s="13">
        <f>E8/O8</f>
        <v>0.74090249550264431</v>
      </c>
      <c r="G8" s="66">
        <f>buu_wk!E5</f>
        <v>140.83848277999999</v>
      </c>
      <c r="H8" s="13">
        <f>G8/P8</f>
        <v>0.70804252879334117</v>
      </c>
      <c r="I8" s="27"/>
      <c r="J8" s="66">
        <f>buu_wk!F5</f>
        <v>58.010854369999997</v>
      </c>
      <c r="K8" s="13">
        <f>J8/O8</f>
        <v>0.25909750449735569</v>
      </c>
      <c r="L8" s="66">
        <f>buu_wk!G5</f>
        <v>58.073979469999998</v>
      </c>
      <c r="M8" s="13">
        <f>L8/P8</f>
        <v>0.29195747120665894</v>
      </c>
      <c r="N8" s="27"/>
      <c r="O8" s="66">
        <f>E8+J8</f>
        <v>223.8958437</v>
      </c>
      <c r="P8" s="66">
        <f>G8+L8</f>
        <v>198.91246224999998</v>
      </c>
      <c r="Q8" s="13">
        <f>P8/O8</f>
        <v>0.88841516199168269</v>
      </c>
    </row>
    <row r="9" spans="1:22">
      <c r="A9" s="4"/>
      <c r="B9" s="4" t="s">
        <v>50</v>
      </c>
      <c r="C9" s="4" t="s">
        <v>49</v>
      </c>
      <c r="D9" s="15"/>
      <c r="E9" s="66">
        <f>SUM(E5:E8)</f>
        <v>634.71597238000004</v>
      </c>
      <c r="F9" s="13">
        <f>E9/O9</f>
        <v>0.73626298396759415</v>
      </c>
      <c r="G9" s="66">
        <f>SUM(G5:G8)</f>
        <v>554.11194499999988</v>
      </c>
      <c r="H9" s="13">
        <f>G9/P9</f>
        <v>0.7089452508348274</v>
      </c>
      <c r="I9" s="27"/>
      <c r="J9" s="66">
        <f>SUM(J5:J8)</f>
        <v>227.36182618000001</v>
      </c>
      <c r="K9" s="13">
        <f>J9/O9</f>
        <v>0.26373701603240607</v>
      </c>
      <c r="L9" s="66">
        <f>SUM(L5:L8)</f>
        <v>227.48853028000002</v>
      </c>
      <c r="M9" s="13">
        <f>L9/P9</f>
        <v>0.29105474916517254</v>
      </c>
      <c r="N9" s="27"/>
      <c r="O9" s="66">
        <f>SUM(O5:O8)</f>
        <v>862.07779855999991</v>
      </c>
      <c r="P9" s="66">
        <f>SUM(P5:P8)</f>
        <v>781.60047527999996</v>
      </c>
      <c r="Q9" s="13">
        <f>P9/O9</f>
        <v>0.90664726151812758</v>
      </c>
    </row>
    <row r="10" spans="1:22">
      <c r="A10" s="88">
        <f>buu_wk!B6</f>
        <v>2005</v>
      </c>
      <c r="B10" s="88"/>
      <c r="C10" s="88"/>
      <c r="D10" s="15"/>
      <c r="E10" s="7"/>
      <c r="F10" s="8"/>
      <c r="G10" s="7"/>
      <c r="H10" s="8"/>
      <c r="I10" s="27"/>
      <c r="J10" s="7"/>
      <c r="K10" s="8"/>
      <c r="L10" s="7"/>
      <c r="M10" s="8"/>
      <c r="N10" s="27"/>
      <c r="O10" s="7"/>
      <c r="P10" s="7"/>
      <c r="Q10" s="8"/>
    </row>
    <row r="11" spans="1:22">
      <c r="A11" s="2"/>
      <c r="B11" s="3" t="str">
        <f>buu_wk!C6</f>
        <v>Q1</v>
      </c>
      <c r="C11" s="3" t="s">
        <v>49</v>
      </c>
      <c r="D11" s="15"/>
      <c r="E11" s="65">
        <f>buu_wk!D6</f>
        <v>144.26880423</v>
      </c>
      <c r="F11" s="8">
        <f>E11/O11</f>
        <v>0.66925053103092347</v>
      </c>
      <c r="G11" s="65">
        <f>buu_wk!E6</f>
        <v>118.56804669</v>
      </c>
      <c r="H11" s="8">
        <f>G11/P11</f>
        <v>0.62440315447561601</v>
      </c>
      <c r="I11" s="27"/>
      <c r="J11" s="65">
        <f>buu_wk!F6</f>
        <v>71.298905529999999</v>
      </c>
      <c r="K11" s="8">
        <f>J11/O11</f>
        <v>0.33074946896907642</v>
      </c>
      <c r="L11" s="65">
        <f>buu_wk!G6</f>
        <v>71.322164209999997</v>
      </c>
      <c r="M11" s="8">
        <f>L11/P11</f>
        <v>0.37559684552438399</v>
      </c>
      <c r="N11" s="27"/>
      <c r="O11" s="65">
        <f>E11+J11</f>
        <v>215.56770976000001</v>
      </c>
      <c r="P11" s="65">
        <f>G11+L11</f>
        <v>189.8902109</v>
      </c>
      <c r="Q11" s="8">
        <f>P11/O11</f>
        <v>0.88088429900476384</v>
      </c>
    </row>
    <row r="12" spans="1:22">
      <c r="C12" s="3" t="s">
        <v>51</v>
      </c>
      <c r="D12" s="15"/>
      <c r="E12" s="8">
        <f>E11/E5-1</f>
        <v>-3.8134894162708322E-2</v>
      </c>
      <c r="F12" s="8"/>
      <c r="G12" s="8">
        <f>G11/G5-1</f>
        <v>-0.10855379451199387</v>
      </c>
      <c r="H12" s="8"/>
      <c r="I12" s="16"/>
      <c r="J12" s="8">
        <f>J11/J5-1</f>
        <v>0.26590180085721848</v>
      </c>
      <c r="K12" s="8"/>
      <c r="L12" s="8">
        <f>L11/L5-1</f>
        <v>0.26615764087904137</v>
      </c>
      <c r="M12" s="8"/>
      <c r="N12" s="16"/>
      <c r="O12" s="8">
        <f>O11/O5-1</f>
        <v>4.4866616033014894E-2</v>
      </c>
      <c r="P12" s="8">
        <f>P11/P5-1</f>
        <v>2.9271071423873085E-3</v>
      </c>
      <c r="Q12" s="8"/>
    </row>
    <row r="13" spans="1:22">
      <c r="B13" s="3" t="str">
        <f>buu_wk!C7</f>
        <v>Q2</v>
      </c>
      <c r="C13" s="3" t="s">
        <v>49</v>
      </c>
      <c r="D13" s="15"/>
      <c r="E13" s="65">
        <f>buu_wk!D7</f>
        <v>150.94278753</v>
      </c>
      <c r="F13" s="8">
        <f>E13/O13</f>
        <v>0.67338989784851944</v>
      </c>
      <c r="G13" s="65">
        <f>buu_wk!E7</f>
        <v>126.67869358</v>
      </c>
      <c r="H13" s="8">
        <f>G13/P13</f>
        <v>0.63360382348235078</v>
      </c>
      <c r="I13" s="27"/>
      <c r="J13" s="65">
        <f>buu_wk!F7</f>
        <v>73.210838789999997</v>
      </c>
      <c r="K13" s="8">
        <f>J13/O13</f>
        <v>0.32661010215148056</v>
      </c>
      <c r="L13" s="65">
        <f>buu_wk!G7</f>
        <v>73.254906700000006</v>
      </c>
      <c r="M13" s="8">
        <f>L13/P13</f>
        <v>0.36639617651764922</v>
      </c>
      <c r="N13" s="27"/>
      <c r="O13" s="65">
        <f>E13+J13</f>
        <v>224.15362632</v>
      </c>
      <c r="P13" s="65">
        <f>G13+L13</f>
        <v>199.93360028000001</v>
      </c>
      <c r="Q13" s="8">
        <f>P13/O13</f>
        <v>0.89194898856811855</v>
      </c>
    </row>
    <row r="14" spans="1:22">
      <c r="C14" s="3" t="s">
        <v>51</v>
      </c>
      <c r="D14" s="15"/>
      <c r="E14" s="8">
        <f>E13/E6-1</f>
        <v>-4.0773283623483647E-2</v>
      </c>
      <c r="F14" s="8"/>
      <c r="G14" s="8">
        <f>G13/G6-1</f>
        <v>-9.1603579364223697E-2</v>
      </c>
      <c r="H14" s="8"/>
      <c r="I14" s="16"/>
      <c r="J14" s="8">
        <f>J13/J6-1</f>
        <v>0.27990292605047484</v>
      </c>
      <c r="K14" s="8"/>
      <c r="L14" s="8">
        <f>L13/L6-1</f>
        <v>0.28031109575709157</v>
      </c>
      <c r="M14" s="8"/>
      <c r="N14" s="16"/>
      <c r="O14" s="8">
        <f>O13/O6-1</f>
        <v>4.4717263076846425E-2</v>
      </c>
      <c r="P14" s="8">
        <f>P13/P6-1</f>
        <v>1.6596435800746656E-2</v>
      </c>
      <c r="Q14" s="8"/>
    </row>
    <row r="15" spans="1:22">
      <c r="B15" s="3" t="str">
        <f>buu_wk!C8</f>
        <v>Q3</v>
      </c>
      <c r="C15" s="3" t="s">
        <v>49</v>
      </c>
      <c r="D15" s="15"/>
      <c r="E15" s="65">
        <f>buu_wk!D8</f>
        <v>146.95722692000001</v>
      </c>
      <c r="F15" s="8">
        <f>E15/O15</f>
        <v>0.670597201136794</v>
      </c>
      <c r="G15" s="65">
        <f>buu_wk!E8</f>
        <v>125.30440432</v>
      </c>
      <c r="H15" s="8">
        <f>G15/P15</f>
        <v>0.63435115610119586</v>
      </c>
      <c r="I15" s="27"/>
      <c r="J15" s="65">
        <f>buu_wk!F8</f>
        <v>72.186584999999994</v>
      </c>
      <c r="K15" s="8">
        <f>J15/O15</f>
        <v>0.32940279886320589</v>
      </c>
      <c r="L15" s="65">
        <f>buu_wk!G8</f>
        <v>72.22720434</v>
      </c>
      <c r="M15" s="8">
        <f>L15/P15</f>
        <v>0.36564884389880409</v>
      </c>
      <c r="N15" s="27"/>
      <c r="O15" s="65">
        <f>E15+J15</f>
        <v>219.14381192000002</v>
      </c>
      <c r="P15" s="65">
        <f>G15+L15</f>
        <v>197.53160866000002</v>
      </c>
      <c r="Q15" s="8">
        <f>P15/O15</f>
        <v>0.90137890241733276</v>
      </c>
    </row>
    <row r="16" spans="1:22">
      <c r="B16" s="9"/>
      <c r="C16" s="9" t="s">
        <v>51</v>
      </c>
      <c r="D16" s="15"/>
      <c r="E16" s="16">
        <f>E15/E7-1</f>
        <v>-8.9955468383368764E-2</v>
      </c>
      <c r="F16" s="16"/>
      <c r="G16" s="16">
        <f>G15/G7-1</f>
        <v>-0.11014223861927386</v>
      </c>
      <c r="H16" s="16"/>
      <c r="I16" s="16"/>
      <c r="J16" s="16">
        <f>J15/J7-1</f>
        <v>0.29301649647567629</v>
      </c>
      <c r="K16" s="16"/>
      <c r="L16" s="16">
        <f>L15/L7-1</f>
        <v>0.29280839263195224</v>
      </c>
      <c r="M16" s="16"/>
      <c r="N16" s="16"/>
      <c r="O16" s="16">
        <f>O15/O7-1</f>
        <v>8.4312556303010044E-3</v>
      </c>
      <c r="P16" s="16">
        <f>P15/P7-1</f>
        <v>4.3175484011088727E-3</v>
      </c>
      <c r="Q16" s="16"/>
      <c r="R16" s="15"/>
      <c r="S16" s="15"/>
      <c r="T16" s="15"/>
      <c r="U16" s="15"/>
      <c r="V16" s="15"/>
    </row>
    <row r="17" spans="1:22" ht="16.149999999999999" customHeight="1">
      <c r="B17" s="3" t="str">
        <f>buu_wk!C9</f>
        <v>Q4</v>
      </c>
      <c r="C17" s="3" t="s">
        <v>49</v>
      </c>
      <c r="D17" s="15"/>
      <c r="E17" s="65">
        <f>buu_wk!D9</f>
        <v>148.59660145000001</v>
      </c>
      <c r="F17" s="8">
        <f>E17/O17</f>
        <v>0.66782309001957363</v>
      </c>
      <c r="G17" s="65">
        <f>buu_wk!E9</f>
        <v>128.64021514999999</v>
      </c>
      <c r="H17" s="8">
        <f>G17/P17</f>
        <v>0.63495530312275783</v>
      </c>
      <c r="I17" s="27"/>
      <c r="J17" s="65">
        <f>buu_wk!F9</f>
        <v>73.912328939999995</v>
      </c>
      <c r="K17" s="8">
        <f>J17/O17</f>
        <v>0.33217690998042643</v>
      </c>
      <c r="L17" s="65">
        <f>buu_wk!G9</f>
        <v>73.957061409999994</v>
      </c>
      <c r="M17" s="8">
        <f>L17/P17</f>
        <v>0.36504469687724217</v>
      </c>
      <c r="N17" s="27"/>
      <c r="O17" s="65">
        <f>E17+J17</f>
        <v>222.50893038999999</v>
      </c>
      <c r="P17" s="65">
        <f>G17+L17</f>
        <v>202.59727655999998</v>
      </c>
      <c r="Q17" s="8">
        <f>P17/O17</f>
        <v>0.91051301269077123</v>
      </c>
    </row>
    <row r="18" spans="1:22" ht="16.149999999999999" customHeight="1">
      <c r="B18" s="4"/>
      <c r="C18" s="4" t="s">
        <v>51</v>
      </c>
      <c r="D18" s="15"/>
      <c r="E18" s="13">
        <f>E17/E8-1</f>
        <v>-0.10421912163256486</v>
      </c>
      <c r="F18" s="13"/>
      <c r="G18" s="13">
        <f>G17/G8-1</f>
        <v>-8.6611751200519449E-2</v>
      </c>
      <c r="H18" s="13"/>
      <c r="I18" s="27"/>
      <c r="J18" s="13">
        <f>J17/J8-1</f>
        <v>0.27411205614346823</v>
      </c>
      <c r="K18" s="13"/>
      <c r="L18" s="13">
        <f>L17/L8-1</f>
        <v>0.2734973922047983</v>
      </c>
      <c r="M18" s="13"/>
      <c r="N18" s="27"/>
      <c r="O18" s="13">
        <f>O17/O8-1</f>
        <v>-6.1944575972493476E-3</v>
      </c>
      <c r="P18" s="13">
        <f>P17/P8-1</f>
        <v>1.8524803666493339E-2</v>
      </c>
      <c r="Q18" s="13"/>
    </row>
    <row r="19" spans="1:22">
      <c r="B19" s="3" t="s">
        <v>50</v>
      </c>
      <c r="C19" s="3" t="s">
        <v>49</v>
      </c>
      <c r="D19" s="15"/>
      <c r="E19" s="65">
        <f>E15+E13+E11+E17</f>
        <v>590.76542013000005</v>
      </c>
      <c r="F19" s="8">
        <f>E19/O19</f>
        <v>0.67027773406854352</v>
      </c>
      <c r="G19" s="65">
        <f>G15+G13+G11+G17</f>
        <v>499.19135974000005</v>
      </c>
      <c r="H19" s="8">
        <f>G19/P19</f>
        <v>0.63192563556644898</v>
      </c>
      <c r="I19" s="27"/>
      <c r="J19" s="65">
        <f>J15+J13+J11+J17</f>
        <v>290.60865826000003</v>
      </c>
      <c r="K19" s="8">
        <f>J19/O19</f>
        <v>0.32972226593145654</v>
      </c>
      <c r="L19" s="65">
        <f>L15+L13+L11+L17</f>
        <v>290.76133665999998</v>
      </c>
      <c r="M19" s="8">
        <f>L19/P19</f>
        <v>0.36807436443355118</v>
      </c>
      <c r="N19" s="27"/>
      <c r="O19" s="65">
        <f>O15+O13+O11+O17</f>
        <v>881.37407839000002</v>
      </c>
      <c r="P19" s="65">
        <f>P15+P13+P11+P17</f>
        <v>789.95269639999992</v>
      </c>
      <c r="Q19" s="8">
        <f>P19/O19</f>
        <v>0.89627402911939624</v>
      </c>
    </row>
    <row r="20" spans="1:22">
      <c r="A20" s="4"/>
      <c r="B20" s="4"/>
      <c r="C20" s="4" t="s">
        <v>51</v>
      </c>
      <c r="D20" s="15"/>
      <c r="E20" s="13">
        <f>E19/E9-1</f>
        <v>-6.9244440289092157E-2</v>
      </c>
      <c r="F20" s="13"/>
      <c r="G20" s="13">
        <f>G19/G9-1</f>
        <v>-9.9114602663907259E-2</v>
      </c>
      <c r="H20" s="13"/>
      <c r="I20" s="16"/>
      <c r="J20" s="13">
        <f>J19/J9-1</f>
        <v>0.27817700597605222</v>
      </c>
      <c r="K20" s="13"/>
      <c r="L20" s="13">
        <f>L19/L9-1</f>
        <v>0.27813624846106233</v>
      </c>
      <c r="M20" s="13"/>
      <c r="N20" s="16"/>
      <c r="O20" s="13">
        <f>O19/O9-1</f>
        <v>2.2383455254540108E-2</v>
      </c>
      <c r="P20" s="13">
        <f>P19/P9-1</f>
        <v>1.0686049182618396E-2</v>
      </c>
      <c r="Q20" s="13"/>
    </row>
    <row r="21" spans="1:22">
      <c r="A21" s="92">
        <f>buu_wk!B52</f>
        <v>2006</v>
      </c>
      <c r="B21" s="92"/>
      <c r="C21" s="92"/>
      <c r="D21" s="15"/>
      <c r="E21" s="27"/>
      <c r="F21" s="16"/>
      <c r="G21" s="27"/>
      <c r="H21" s="16"/>
      <c r="I21" s="27"/>
      <c r="J21" s="27"/>
      <c r="K21" s="16"/>
      <c r="L21" s="27"/>
      <c r="M21" s="16"/>
      <c r="N21" s="27"/>
      <c r="O21" s="27"/>
      <c r="P21" s="27"/>
      <c r="Q21" s="16"/>
    </row>
    <row r="22" spans="1:22">
      <c r="A22" s="15"/>
      <c r="B22" s="9" t="str">
        <f>buu_wk!C52</f>
        <v>Q1</v>
      </c>
      <c r="C22" s="9" t="s">
        <v>49</v>
      </c>
      <c r="D22" s="15"/>
      <c r="E22" s="68">
        <f>buu_wk!D52</f>
        <v>143.12208358999999</v>
      </c>
      <c r="F22" s="16">
        <f>E22/O22</f>
        <v>0.66311832639847246</v>
      </c>
      <c r="G22" s="68">
        <f>buu_wk!E52</f>
        <v>125.13363296</v>
      </c>
      <c r="H22" s="16">
        <f>G22/P22</f>
        <v>0.63248560366066853</v>
      </c>
      <c r="I22" s="27"/>
      <c r="J22" s="68">
        <f>buu_wk!F52</f>
        <v>72.709809289999995</v>
      </c>
      <c r="K22" s="16">
        <f>J22/O22</f>
        <v>0.33688167360152743</v>
      </c>
      <c r="L22" s="68">
        <f>buu_wk!G52</f>
        <v>72.710606080000005</v>
      </c>
      <c r="M22" s="16">
        <f>L22/P22</f>
        <v>0.36751439633933153</v>
      </c>
      <c r="N22" s="27"/>
      <c r="O22" s="68">
        <f>E22+J22</f>
        <v>215.83189288</v>
      </c>
      <c r="P22" s="68">
        <f>G22+L22</f>
        <v>197.84423903999999</v>
      </c>
      <c r="Q22" s="16">
        <f>P22/O22</f>
        <v>0.91665896267702696</v>
      </c>
    </row>
    <row r="23" spans="1:22">
      <c r="A23" s="9"/>
      <c r="B23" s="9"/>
      <c r="C23" s="9" t="s">
        <v>51</v>
      </c>
      <c r="D23" s="15"/>
      <c r="E23" s="16">
        <f>E22/E11-1</f>
        <v>-7.9485003436491342E-3</v>
      </c>
      <c r="F23" s="16"/>
      <c r="G23" s="16">
        <f>G22/G11-1</f>
        <v>5.5373993696344881E-2</v>
      </c>
      <c r="H23" s="16"/>
      <c r="I23" s="16"/>
      <c r="J23" s="16">
        <f>J22/J11-1</f>
        <v>1.9788575287545518E-2</v>
      </c>
      <c r="K23" s="16"/>
      <c r="L23" s="16">
        <f>L22/L11-1</f>
        <v>1.9467186468317133E-2</v>
      </c>
      <c r="M23" s="16"/>
      <c r="N23" s="16"/>
      <c r="O23" s="16">
        <f>O22/O11-1</f>
        <v>1.2255226921236151E-3</v>
      </c>
      <c r="P23" s="16">
        <f>P22/P11-1</f>
        <v>4.1887510168645559E-2</v>
      </c>
      <c r="Q23" s="16"/>
    </row>
    <row r="24" spans="1:22">
      <c r="B24" s="3" t="str">
        <f>buu_wk!C58</f>
        <v>Q2</v>
      </c>
      <c r="C24" s="3" t="s">
        <v>49</v>
      </c>
      <c r="D24" s="15"/>
      <c r="E24" s="65">
        <f>buu_wk!D58</f>
        <v>148.51454376999999</v>
      </c>
      <c r="F24" s="8">
        <f>E24/O24</f>
        <v>0.663691529179957</v>
      </c>
      <c r="G24" s="65">
        <f>buu_wk!E58</f>
        <v>134.99562797999999</v>
      </c>
      <c r="H24" s="8">
        <f>G24/P24</f>
        <v>0.64255987261005321</v>
      </c>
      <c r="I24" s="27"/>
      <c r="J24" s="65">
        <f>buu_wk!F58</f>
        <v>75.255893610000001</v>
      </c>
      <c r="K24" s="8">
        <f>J24/O24</f>
        <v>0.33630847082004311</v>
      </c>
      <c r="L24" s="65">
        <f>buu_wk!G58</f>
        <v>75.094721160000006</v>
      </c>
      <c r="M24" s="8">
        <f>L24/P24</f>
        <v>0.35744012738994685</v>
      </c>
      <c r="N24" s="27"/>
      <c r="O24" s="65">
        <f>E24+J24</f>
        <v>223.77043737999998</v>
      </c>
      <c r="P24" s="65">
        <f>G24+L24</f>
        <v>210.09034914</v>
      </c>
      <c r="Q24" s="8">
        <f>P24/O24</f>
        <v>0.93886552486480201</v>
      </c>
    </row>
    <row r="25" spans="1:22">
      <c r="A25" s="9"/>
      <c r="B25" s="9"/>
      <c r="C25" s="9" t="s">
        <v>51</v>
      </c>
      <c r="D25" s="15"/>
      <c r="E25" s="16">
        <f>E24/E13-1</f>
        <v>-1.6087179783382477E-2</v>
      </c>
      <c r="F25" s="16"/>
      <c r="G25" s="16">
        <f>G24/G13-1</f>
        <v>6.5653774640071605E-2</v>
      </c>
      <c r="H25" s="16"/>
      <c r="I25" s="16"/>
      <c r="J25" s="16">
        <f>J24/J13-1</f>
        <v>2.7933771198361601E-2</v>
      </c>
      <c r="K25" s="16"/>
      <c r="L25" s="16">
        <f>L24/L13-1</f>
        <v>2.5115238594659139E-2</v>
      </c>
      <c r="M25" s="16"/>
      <c r="N25" s="16"/>
      <c r="O25" s="16">
        <f>O24/O13-1</f>
        <v>-1.709492486429709E-3</v>
      </c>
      <c r="P25" s="16">
        <f>P24/P13-1</f>
        <v>5.0800610031409565E-2</v>
      </c>
      <c r="Q25" s="16"/>
    </row>
    <row r="26" spans="1:22">
      <c r="A26" s="9"/>
      <c r="B26" s="9" t="str">
        <f>buu_wk!C65</f>
        <v>Q3</v>
      </c>
      <c r="C26" s="9" t="s">
        <v>49</v>
      </c>
      <c r="D26" s="15"/>
      <c r="E26" s="68">
        <f>buu_wk!D65</f>
        <v>146.94514838000001</v>
      </c>
      <c r="F26" s="16">
        <f>E26/O26</f>
        <v>0.66006777884083734</v>
      </c>
      <c r="G26" s="68">
        <f>buu_wk!E65</f>
        <v>131.73332016000001</v>
      </c>
      <c r="H26" s="16">
        <f>G26/P26</f>
        <v>0.6355109015420457</v>
      </c>
      <c r="I26" s="27"/>
      <c r="J26" s="68">
        <f>buu_wk!F65</f>
        <v>75.676153690000007</v>
      </c>
      <c r="K26" s="16">
        <f>J26/O26</f>
        <v>0.33993222115916266</v>
      </c>
      <c r="L26" s="68">
        <f>buu_wk!G65</f>
        <v>75.553950349999994</v>
      </c>
      <c r="M26" s="16">
        <f>L26/P26</f>
        <v>0.3644890984579543</v>
      </c>
      <c r="N26" s="27"/>
      <c r="O26" s="68">
        <f>E26+J26</f>
        <v>222.62130207000001</v>
      </c>
      <c r="P26" s="68">
        <f>G26+L26</f>
        <v>207.28727050999998</v>
      </c>
      <c r="Q26" s="16">
        <f>P26/O26</f>
        <v>0.93112055577152963</v>
      </c>
    </row>
    <row r="27" spans="1:22">
      <c r="A27" s="9"/>
      <c r="B27" s="9"/>
      <c r="C27" s="9" t="s">
        <v>51</v>
      </c>
      <c r="D27" s="15"/>
      <c r="E27" s="16">
        <f>E26/E15-1</f>
        <v>-8.2190854122310419E-5</v>
      </c>
      <c r="F27" s="16"/>
      <c r="G27" s="16">
        <f>G26/G15-1</f>
        <v>5.1306383641407827E-2</v>
      </c>
      <c r="H27" s="16"/>
      <c r="I27" s="16"/>
      <c r="J27" s="16">
        <f>J26/J15-1</f>
        <v>4.8340958226518405E-2</v>
      </c>
      <c r="K27" s="16"/>
      <c r="L27" s="16">
        <f>L26/L15-1</f>
        <v>4.6059459734032915E-2</v>
      </c>
      <c r="M27" s="16"/>
      <c r="N27" s="16"/>
      <c r="O27" s="16">
        <f>O26/O15-1</f>
        <v>1.5868529982810964E-2</v>
      </c>
      <c r="P27" s="16">
        <f>P26/P15-1</f>
        <v>4.9387851980650987E-2</v>
      </c>
      <c r="Q27" s="16"/>
      <c r="R27" s="15"/>
      <c r="S27" s="15"/>
      <c r="T27" s="15"/>
      <c r="U27" s="15"/>
      <c r="V27" s="15"/>
    </row>
    <row r="28" spans="1:22" ht="16.149999999999999" customHeight="1">
      <c r="B28" s="3" t="str">
        <f>buu_wk!C72</f>
        <v>Q4</v>
      </c>
      <c r="C28" s="3" t="s">
        <v>49</v>
      </c>
      <c r="D28" s="15"/>
      <c r="E28" s="68">
        <f>buu_wk!D72</f>
        <v>148.12969848</v>
      </c>
      <c r="F28" s="8">
        <f>E28/O28</f>
        <v>0.66186832257714145</v>
      </c>
      <c r="G28" s="68">
        <f>buu_wk!E72</f>
        <v>137.29846556000001</v>
      </c>
      <c r="H28" s="8">
        <f>G28/P28</f>
        <v>0.64502895959244089</v>
      </c>
      <c r="I28" s="27"/>
      <c r="J28" s="68">
        <f>buu_wk!F72</f>
        <v>75.675692150000003</v>
      </c>
      <c r="K28" s="8">
        <f>J28/O28</f>
        <v>0.33813167742285849</v>
      </c>
      <c r="L28" s="68">
        <f>buu_wk!G72</f>
        <v>75.557815570000002</v>
      </c>
      <c r="M28" s="8">
        <f>L28/P28</f>
        <v>0.35497104040755911</v>
      </c>
      <c r="N28" s="27"/>
      <c r="O28" s="68">
        <f>E28+J28</f>
        <v>223.80539063000001</v>
      </c>
      <c r="P28" s="68">
        <f>G28+L28</f>
        <v>212.85628113000001</v>
      </c>
      <c r="Q28" s="8">
        <f>P28/O28</f>
        <v>0.95107754344442352</v>
      </c>
    </row>
    <row r="29" spans="1:22" ht="16.149999999999999" customHeight="1">
      <c r="B29" s="4"/>
      <c r="C29" s="4" t="s">
        <v>51</v>
      </c>
      <c r="D29" s="15"/>
      <c r="E29" s="13">
        <f>E28/E17-1</f>
        <v>-3.1420837720647077E-3</v>
      </c>
      <c r="F29" s="13"/>
      <c r="G29" s="13">
        <f>G28/G17-1</f>
        <v>6.7305938503788409E-2</v>
      </c>
      <c r="H29" s="13"/>
      <c r="I29" s="27"/>
      <c r="J29" s="13">
        <f>J28/J17-1</f>
        <v>2.3857497595989097E-2</v>
      </c>
      <c r="K29" s="13"/>
      <c r="L29" s="13">
        <f>L28/L17-1</f>
        <v>2.1644372146235158E-2</v>
      </c>
      <c r="M29" s="13"/>
      <c r="N29" s="27"/>
      <c r="O29" s="13">
        <f>O28/O17-1</f>
        <v>5.8265537375405962E-3</v>
      </c>
      <c r="P29" s="13">
        <f>P28/P17-1</f>
        <v>5.0637425853855333E-2</v>
      </c>
      <c r="Q29" s="13"/>
    </row>
    <row r="30" spans="1:22">
      <c r="B30" s="3" t="s">
        <v>50</v>
      </c>
      <c r="C30" s="3" t="s">
        <v>49</v>
      </c>
      <c r="D30" s="15"/>
      <c r="E30" s="68">
        <f>E26+E24+E22+E28</f>
        <v>586.71147422000001</v>
      </c>
      <c r="F30" s="8">
        <f>E30/O30</f>
        <v>0.66218087558796279</v>
      </c>
      <c r="G30" s="68">
        <f>G26+G24+G22+G28</f>
        <v>529.16104666000001</v>
      </c>
      <c r="H30" s="8">
        <f>G30/P30</f>
        <v>0.63902308395077811</v>
      </c>
      <c r="I30" s="27"/>
      <c r="J30" s="68">
        <f>J26+J24+J22+J28</f>
        <v>299.31754874000001</v>
      </c>
      <c r="K30" s="8">
        <f>J30/O30</f>
        <v>0.33781912441203721</v>
      </c>
      <c r="L30" s="68">
        <f>L26+L24+L22+L28</f>
        <v>298.91709315999998</v>
      </c>
      <c r="M30" s="8">
        <f>L30/P30</f>
        <v>0.36097691604922194</v>
      </c>
      <c r="N30" s="27"/>
      <c r="O30" s="68">
        <f>O26+O24+O22+O28</f>
        <v>886.02902296000002</v>
      </c>
      <c r="P30" s="68">
        <f>P26+P24+P22+P28</f>
        <v>828.07813981999993</v>
      </c>
      <c r="Q30" s="8">
        <f>P30/O30</f>
        <v>0.93459482518258741</v>
      </c>
    </row>
    <row r="31" spans="1:22">
      <c r="A31" s="4"/>
      <c r="B31" s="4"/>
      <c r="C31" s="4" t="s">
        <v>51</v>
      </c>
      <c r="D31" s="15"/>
      <c r="E31" s="13">
        <f>E30/E19-1</f>
        <v>-6.8621922879439357E-3</v>
      </c>
      <c r="F31" s="13"/>
      <c r="G31" s="13">
        <f>G30/G19-1</f>
        <v>6.0036469652859026E-2</v>
      </c>
      <c r="H31" s="13"/>
      <c r="I31" s="16"/>
      <c r="J31" s="13">
        <f>J30/J19-1</f>
        <v>2.9967759846330377E-2</v>
      </c>
      <c r="K31" s="13"/>
      <c r="L31" s="13">
        <f>L30/L19-1</f>
        <v>2.8049659537563887E-2</v>
      </c>
      <c r="M31" s="13"/>
      <c r="N31" s="16"/>
      <c r="O31" s="13">
        <f>O30/O19-1</f>
        <v>5.2814629839161853E-3</v>
      </c>
      <c r="P31" s="13">
        <f>P30/P19-1</f>
        <v>4.8262944849415179E-2</v>
      </c>
      <c r="Q31" s="13"/>
    </row>
    <row r="32" spans="1:22">
      <c r="A32" s="34" t="str">
        <f>說明!B18</f>
        <v>1.</v>
      </c>
      <c r="B32" s="34" t="str">
        <f>說明!C18</f>
        <v>資料來源：總額各案件核定醫療費用分攤明細(PHFB_DECIDE_DIST)</v>
      </c>
      <c r="C32" s="9"/>
      <c r="D32" s="15"/>
      <c r="E32" s="16"/>
      <c r="F32" s="16"/>
      <c r="G32" s="16"/>
      <c r="H32" s="16"/>
      <c r="I32" s="16"/>
      <c r="J32" s="16"/>
      <c r="K32" s="16"/>
      <c r="L32" s="16"/>
      <c r="M32" s="16"/>
      <c r="N32" s="16"/>
      <c r="O32" s="16"/>
      <c r="P32" s="16"/>
      <c r="Q32" s="16"/>
    </row>
    <row r="33" spans="1:17">
      <c r="A33" s="34" t="str">
        <f>說明!B19</f>
        <v>2.</v>
      </c>
      <c r="B33" s="34" t="str">
        <f>說明!C19</f>
        <v>資料處理：</v>
      </c>
      <c r="C33" s="9"/>
      <c r="D33" s="15"/>
      <c r="E33" s="16"/>
      <c r="F33" s="16"/>
      <c r="G33" s="16"/>
      <c r="H33" s="16"/>
      <c r="I33" s="16"/>
      <c r="J33" s="16"/>
      <c r="K33" s="16"/>
      <c r="L33" s="16"/>
      <c r="M33" s="16"/>
      <c r="N33" s="16"/>
      <c r="O33" s="16"/>
      <c r="P33" s="16"/>
      <c r="Q33" s="16"/>
    </row>
    <row r="34" spans="1:17">
      <c r="A34" s="34"/>
      <c r="B34" s="34" t="str">
        <f>說明!C20</f>
        <v>※本表僅含當季核定之送核、補報資料</v>
      </c>
      <c r="C34" s="9"/>
      <c r="D34" s="15"/>
      <c r="E34" s="16"/>
      <c r="F34" s="16"/>
      <c r="G34" s="16"/>
      <c r="H34" s="16"/>
      <c r="I34" s="16"/>
      <c r="J34" s="16"/>
      <c r="K34" s="16"/>
      <c r="L34" s="16"/>
      <c r="M34" s="16"/>
      <c r="N34" s="16"/>
      <c r="O34" s="16"/>
      <c r="P34" s="16"/>
      <c r="Q34" s="16"/>
    </row>
    <row r="35" spans="1:17">
      <c r="A35" s="34"/>
      <c r="B35" s="34" t="str">
        <f>說明!C21</f>
        <v>※本表不含申複、爭議審議等之核定醫療點數及費用</v>
      </c>
      <c r="C35" s="9"/>
      <c r="D35" s="15"/>
      <c r="E35" s="16"/>
      <c r="F35" s="16"/>
      <c r="G35" s="16"/>
      <c r="H35" s="16"/>
      <c r="I35" s="16"/>
      <c r="J35" s="16"/>
      <c r="K35" s="16"/>
      <c r="L35" s="16"/>
      <c r="M35" s="16"/>
      <c r="N35" s="16"/>
      <c r="O35" s="16"/>
      <c r="P35" s="16"/>
      <c r="Q35" s="16"/>
    </row>
    <row r="36" spans="1:17">
      <c r="A36" s="34"/>
      <c r="B36" s="34" t="str">
        <f>說明!C22</f>
        <v>※本表不含代辦、總額外及追扣、補付付款之項目</v>
      </c>
      <c r="C36" s="9"/>
      <c r="D36" s="15"/>
      <c r="E36" s="16"/>
      <c r="F36" s="16"/>
      <c r="G36" s="16"/>
      <c r="H36" s="16"/>
      <c r="I36" s="16"/>
      <c r="J36" s="16"/>
      <c r="K36" s="16"/>
      <c r="L36" s="16"/>
      <c r="M36" s="16"/>
      <c r="N36" s="16"/>
      <c r="O36" s="16"/>
      <c r="P36" s="16"/>
      <c r="Q36" s="16"/>
    </row>
    <row r="37" spans="1:17">
      <c r="A37" s="34"/>
      <c r="B37" s="34" t="str">
        <f>說明!C23</f>
        <v>※本表所謂浮動點值部分係指各總額別中一般部門預算之浮動點值部份</v>
      </c>
      <c r="C37" s="9"/>
      <c r="D37" s="15"/>
      <c r="E37" s="16"/>
      <c r="F37" s="16"/>
      <c r="G37" s="16"/>
      <c r="H37" s="16"/>
      <c r="I37" s="16"/>
      <c r="J37" s="16"/>
      <c r="K37" s="16"/>
      <c r="L37" s="16"/>
      <c r="M37" s="16"/>
      <c r="N37" s="16"/>
      <c r="O37" s="16"/>
      <c r="P37" s="16"/>
      <c r="Q37" s="16"/>
    </row>
    <row r="38" spans="1:17">
      <c r="A38" s="34"/>
      <c r="B38" s="34" t="str">
        <f>說明!C24</f>
        <v>※本表所謂固定點值部分係指各總額別中一般部門預算之非浮動點值及專款部份</v>
      </c>
      <c r="C38" s="9"/>
      <c r="D38" s="15"/>
      <c r="E38" s="16"/>
      <c r="F38" s="16"/>
      <c r="G38" s="16"/>
      <c r="H38" s="16"/>
      <c r="I38" s="16"/>
      <c r="J38" s="16"/>
      <c r="K38" s="16"/>
      <c r="L38" s="16"/>
      <c r="M38" s="16"/>
      <c r="N38" s="16"/>
      <c r="O38" s="16"/>
      <c r="P38" s="16"/>
      <c r="Q38" s="16"/>
    </row>
    <row r="39" spans="1:17">
      <c r="A39" s="34"/>
      <c r="B39" s="34" t="str">
        <f>說明!C25</f>
        <v>※層級別中不含處方釋出之醫療點數及費用</v>
      </c>
    </row>
    <row r="40" spans="1:17">
      <c r="A40" s="34"/>
      <c r="B40" s="34"/>
    </row>
    <row r="41" spans="1:17">
      <c r="A41" s="34"/>
      <c r="B41" s="34"/>
    </row>
    <row r="42" spans="1:17">
      <c r="A42" s="34"/>
      <c r="B42" s="34"/>
    </row>
  </sheetData>
  <mergeCells count="7">
    <mergeCell ref="A21:C21"/>
    <mergeCell ref="A1:Q1"/>
    <mergeCell ref="O2:Q2"/>
    <mergeCell ref="A4:C4"/>
    <mergeCell ref="A10:C10"/>
    <mergeCell ref="E2:H2"/>
    <mergeCell ref="J2:M2"/>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91" orientation="landscape" r:id="rId1"/>
  <headerFooter alignWithMargins="0"/>
</worksheet>
</file>

<file path=xl/worksheets/sheet15.xml><?xml version="1.0" encoding="utf-8"?>
<worksheet xmlns="http://schemas.openxmlformats.org/spreadsheetml/2006/main" xmlns:r="http://schemas.openxmlformats.org/officeDocument/2006/relationships">
  <sheetPr codeName="Sheet3">
    <pageSetUpPr fitToPage="1"/>
  </sheetPr>
  <dimension ref="A1:R40"/>
  <sheetViews>
    <sheetView showGridLines="0" zoomScale="75" workbookViewId="0">
      <pane ySplit="1" topLeftCell="A2" activePane="bottomLeft" state="frozen"/>
      <selection sqref="A1:D1"/>
      <selection pane="bottomLeft" activeCell="R3" sqref="R3"/>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1.5" style="3" customWidth="1"/>
    <col min="6" max="6" width="11.125" style="3" bestFit="1" customWidth="1"/>
    <col min="7" max="7" width="11.5" style="3" bestFit="1" customWidth="1"/>
    <col min="8" max="8" width="11.125" style="3" bestFit="1" customWidth="1"/>
    <col min="9" max="9" width="1.875" style="3" customWidth="1"/>
    <col min="10" max="10" width="11.75" style="3" customWidth="1"/>
    <col min="11" max="11" width="11.125" style="3" bestFit="1" customWidth="1"/>
    <col min="12" max="12" width="11.5" style="3" bestFit="1" customWidth="1"/>
    <col min="13" max="13" width="11.125" style="3" bestFit="1" customWidth="1"/>
    <col min="14" max="14" width="2.25" style="3" customWidth="1"/>
    <col min="15" max="15" width="11.5" style="3" customWidth="1"/>
    <col min="16" max="16" width="11.75" style="3" customWidth="1"/>
    <col min="17" max="17" width="11.5" style="3" bestFit="1" customWidth="1"/>
    <col min="18" max="16384" width="8.875" style="2"/>
  </cols>
  <sheetData>
    <row r="1" spans="1:18" ht="40.9" customHeight="1">
      <c r="A1" s="89" t="s">
        <v>208</v>
      </c>
      <c r="B1" s="89"/>
      <c r="C1" s="89"/>
      <c r="D1" s="89"/>
      <c r="E1" s="89"/>
      <c r="F1" s="89"/>
      <c r="G1" s="89"/>
      <c r="H1" s="89"/>
      <c r="I1" s="89"/>
      <c r="J1" s="89"/>
      <c r="K1" s="89"/>
      <c r="L1" s="89"/>
      <c r="M1" s="89"/>
      <c r="N1" s="89"/>
      <c r="O1" s="89"/>
      <c r="P1" s="89"/>
      <c r="Q1" s="89"/>
    </row>
    <row r="2" spans="1:18" s="3" customFormat="1">
      <c r="E2" s="90" t="s">
        <v>42</v>
      </c>
      <c r="F2" s="90"/>
      <c r="G2" s="90"/>
      <c r="H2" s="90"/>
      <c r="J2" s="90" t="s">
        <v>43</v>
      </c>
      <c r="K2" s="90"/>
      <c r="L2" s="90"/>
      <c r="M2" s="90"/>
      <c r="O2" s="90" t="s">
        <v>44</v>
      </c>
      <c r="P2" s="90"/>
      <c r="Q2" s="90"/>
    </row>
    <row r="3" spans="1:18" s="3" customFormat="1" ht="33">
      <c r="A3" s="4" t="s">
        <v>45</v>
      </c>
      <c r="B3" s="4" t="s">
        <v>46</v>
      </c>
      <c r="C3" s="4" t="s">
        <v>47</v>
      </c>
      <c r="E3" s="5" t="s">
        <v>218</v>
      </c>
      <c r="F3" s="6" t="s">
        <v>48</v>
      </c>
      <c r="G3" s="35" t="s">
        <v>219</v>
      </c>
      <c r="H3" s="6" t="s">
        <v>48</v>
      </c>
      <c r="J3" s="5" t="s">
        <v>218</v>
      </c>
      <c r="K3" s="6" t="s">
        <v>48</v>
      </c>
      <c r="L3" s="35" t="s">
        <v>219</v>
      </c>
      <c r="M3" s="6" t="s">
        <v>48</v>
      </c>
      <c r="O3" s="5" t="s">
        <v>220</v>
      </c>
      <c r="P3" s="35" t="s">
        <v>221</v>
      </c>
      <c r="Q3" s="35" t="s">
        <v>216</v>
      </c>
      <c r="R3" s="84"/>
    </row>
    <row r="4" spans="1:18">
      <c r="A4" s="88">
        <f>buu_wk!B34</f>
        <v>2004</v>
      </c>
      <c r="B4" s="88"/>
      <c r="C4" s="88"/>
      <c r="D4" s="9"/>
      <c r="E4" s="10"/>
      <c r="F4" s="9"/>
      <c r="G4" s="9"/>
      <c r="H4" s="9"/>
      <c r="I4" s="9"/>
      <c r="J4" s="10"/>
      <c r="K4" s="9"/>
      <c r="L4" s="9"/>
      <c r="M4" s="9"/>
      <c r="N4" s="9"/>
      <c r="O4" s="10"/>
      <c r="P4" s="9"/>
      <c r="Q4" s="9"/>
    </row>
    <row r="5" spans="1:18">
      <c r="A5" s="2"/>
      <c r="B5" s="3" t="str">
        <f>buu_wk!C34</f>
        <v>Q1</v>
      </c>
      <c r="C5" s="3" t="s">
        <v>49</v>
      </c>
      <c r="D5" s="15"/>
      <c r="E5" s="65">
        <f>buu_wk!D34</f>
        <v>102.82191806</v>
      </c>
      <c r="F5" s="8">
        <f>E5/O5</f>
        <v>0.71961427144922319</v>
      </c>
      <c r="G5" s="65">
        <f>buu_wk!E34</f>
        <v>90.876191300000002</v>
      </c>
      <c r="H5" s="8">
        <f>G5/P5</f>
        <v>0.69382755231100812</v>
      </c>
      <c r="I5" s="16"/>
      <c r="J5" s="65">
        <f>buu_wk!F34</f>
        <v>40.062849710000002</v>
      </c>
      <c r="K5" s="8">
        <f>J5/O5</f>
        <v>0.28038572855077681</v>
      </c>
      <c r="L5" s="65">
        <f>buu_wk!G34</f>
        <v>40.101875219999997</v>
      </c>
      <c r="M5" s="8">
        <f>L5/P5</f>
        <v>0.30617244768899188</v>
      </c>
      <c r="N5" s="16"/>
      <c r="O5" s="65">
        <f>E5+J5</f>
        <v>142.88476777</v>
      </c>
      <c r="P5" s="65">
        <f>G5+L5</f>
        <v>130.97806652</v>
      </c>
      <c r="Q5" s="8">
        <f>P5/O5</f>
        <v>0.91666920529159501</v>
      </c>
    </row>
    <row r="6" spans="1:18">
      <c r="B6" s="3" t="str">
        <f>buu_wk!C35</f>
        <v>Q2</v>
      </c>
      <c r="C6" s="3" t="s">
        <v>49</v>
      </c>
      <c r="D6" s="15"/>
      <c r="E6" s="65">
        <f>buu_wk!D35</f>
        <v>107.37274055</v>
      </c>
      <c r="F6" s="8">
        <f>E6/O6</f>
        <v>0.72350622958595923</v>
      </c>
      <c r="G6" s="65">
        <f>buu_wk!E35</f>
        <v>97.042395970000001</v>
      </c>
      <c r="H6" s="8">
        <f>G6/P6</f>
        <v>0.70264895617722445</v>
      </c>
      <c r="I6" s="27"/>
      <c r="J6" s="65">
        <f>buu_wk!F35</f>
        <v>41.033363170000001</v>
      </c>
      <c r="K6" s="8">
        <f>J6/O6</f>
        <v>0.27649377041404077</v>
      </c>
      <c r="L6" s="65">
        <f>buu_wk!G35</f>
        <v>41.066961650000003</v>
      </c>
      <c r="M6" s="8">
        <f>L6/P6</f>
        <v>0.29735104382277555</v>
      </c>
      <c r="N6" s="27"/>
      <c r="O6" s="65">
        <f>E6+J6</f>
        <v>148.40610372</v>
      </c>
      <c r="P6" s="65">
        <f>G6+L6</f>
        <v>138.10935762</v>
      </c>
      <c r="Q6" s="8">
        <f>P6/O6</f>
        <v>0.93061777216773356</v>
      </c>
    </row>
    <row r="7" spans="1:18">
      <c r="B7" s="3" t="str">
        <f>buu_wk!C36</f>
        <v>Q3</v>
      </c>
      <c r="C7" s="3" t="s">
        <v>49</v>
      </c>
      <c r="D7" s="15"/>
      <c r="E7" s="65">
        <f>buu_wk!D36</f>
        <v>108.98079994</v>
      </c>
      <c r="F7" s="8">
        <f>E7/O7</f>
        <v>0.73564320202939792</v>
      </c>
      <c r="G7" s="65">
        <f>buu_wk!E36</f>
        <v>97.417147290000003</v>
      </c>
      <c r="H7" s="8">
        <f>G7/P7</f>
        <v>0.71288614216754287</v>
      </c>
      <c r="I7" s="27"/>
      <c r="J7" s="65">
        <f>buu_wk!F36</f>
        <v>39.162756119999997</v>
      </c>
      <c r="K7" s="8">
        <f>J7/O7</f>
        <v>0.26435679797060219</v>
      </c>
      <c r="L7" s="65">
        <f>buu_wk!G36</f>
        <v>39.23461451</v>
      </c>
      <c r="M7" s="8">
        <f>L7/P7</f>
        <v>0.28711385783245713</v>
      </c>
      <c r="N7" s="27"/>
      <c r="O7" s="65">
        <f>E7+J7</f>
        <v>148.14355605999998</v>
      </c>
      <c r="P7" s="65">
        <f>G7+L7</f>
        <v>136.6517618</v>
      </c>
      <c r="Q7" s="8">
        <f>P7/O7</f>
        <v>0.92242798427664541</v>
      </c>
    </row>
    <row r="8" spans="1:18">
      <c r="B8" s="4" t="str">
        <f>buu_wk!C37</f>
        <v>Q4</v>
      </c>
      <c r="C8" s="4" t="s">
        <v>49</v>
      </c>
      <c r="D8" s="15"/>
      <c r="E8" s="66">
        <f>buu_wk!D37</f>
        <v>113.06227427</v>
      </c>
      <c r="F8" s="13">
        <f>E8/O8</f>
        <v>0.73474432527386901</v>
      </c>
      <c r="G8" s="66">
        <f>buu_wk!E37</f>
        <v>99.015392809999994</v>
      </c>
      <c r="H8" s="13">
        <f>G8/P8</f>
        <v>0.70768128597832491</v>
      </c>
      <c r="I8" s="27"/>
      <c r="J8" s="66">
        <f>buu_wk!F37</f>
        <v>40.817477340000003</v>
      </c>
      <c r="K8" s="13">
        <f>J8/O8</f>
        <v>0.26525567472613104</v>
      </c>
      <c r="L8" s="66">
        <f>buu_wk!G37</f>
        <v>40.899841309999999</v>
      </c>
      <c r="M8" s="13">
        <f>L8/P8</f>
        <v>0.29231871402167514</v>
      </c>
      <c r="N8" s="27"/>
      <c r="O8" s="66">
        <f>E8+J8</f>
        <v>153.87975161</v>
      </c>
      <c r="P8" s="66">
        <f>G8+L8</f>
        <v>139.91523411999998</v>
      </c>
      <c r="Q8" s="13">
        <f>P8/O8</f>
        <v>0.90925045469664945</v>
      </c>
    </row>
    <row r="9" spans="1:18">
      <c r="A9" s="4"/>
      <c r="B9" s="4" t="s">
        <v>50</v>
      </c>
      <c r="C9" s="4" t="s">
        <v>49</v>
      </c>
      <c r="D9" s="15"/>
      <c r="E9" s="66">
        <f>SUM(E5:E8)</f>
        <v>432.23773282000002</v>
      </c>
      <c r="F9" s="13">
        <f>E9/O9</f>
        <v>0.72851407905327981</v>
      </c>
      <c r="G9" s="66">
        <f>SUM(G5:G8)</f>
        <v>384.35112736999997</v>
      </c>
      <c r="H9" s="13">
        <f>G9/P9</f>
        <v>0.70438562071528155</v>
      </c>
      <c r="I9" s="27"/>
      <c r="J9" s="66">
        <f>SUM(J5:J8)</f>
        <v>161.07644633999999</v>
      </c>
      <c r="K9" s="13">
        <f>J9/O9</f>
        <v>0.2714859209467203</v>
      </c>
      <c r="L9" s="66">
        <f>SUM(L5:L8)</f>
        <v>161.30329269000001</v>
      </c>
      <c r="M9" s="13">
        <f>L9/P9</f>
        <v>0.29561437928471868</v>
      </c>
      <c r="N9" s="27"/>
      <c r="O9" s="66">
        <f>SUM(O5:O8)</f>
        <v>593.31417915999998</v>
      </c>
      <c r="P9" s="66">
        <f>SUM(P5:P8)</f>
        <v>545.65442005999989</v>
      </c>
      <c r="Q9" s="13">
        <f>P9/O9</f>
        <v>0.91967197013987489</v>
      </c>
    </row>
    <row r="10" spans="1:18">
      <c r="A10" s="88">
        <f>buu_wk!B38</f>
        <v>2005</v>
      </c>
      <c r="B10" s="88"/>
      <c r="C10" s="88"/>
      <c r="D10" s="15"/>
      <c r="E10" s="7"/>
      <c r="F10" s="8"/>
      <c r="G10" s="7"/>
      <c r="H10" s="8"/>
      <c r="I10" s="27"/>
      <c r="J10" s="7"/>
      <c r="K10" s="8"/>
      <c r="L10" s="7"/>
      <c r="M10" s="8"/>
      <c r="N10" s="27"/>
      <c r="O10" s="7"/>
      <c r="P10" s="7"/>
      <c r="Q10" s="8"/>
    </row>
    <row r="11" spans="1:18">
      <c r="A11" s="2"/>
      <c r="B11" s="3" t="str">
        <f>buu_wk!C38</f>
        <v>Q1</v>
      </c>
      <c r="C11" s="3" t="s">
        <v>49</v>
      </c>
      <c r="D11" s="15"/>
      <c r="E11" s="65">
        <f>buu_wk!D38</f>
        <v>102.09041591</v>
      </c>
      <c r="F11" s="8">
        <f>E11/O11</f>
        <v>0.66292049083219151</v>
      </c>
      <c r="G11" s="65">
        <f>buu_wk!E38</f>
        <v>89.242550059999999</v>
      </c>
      <c r="H11" s="8">
        <f>G11/P11</f>
        <v>0.63196707282713205</v>
      </c>
      <c r="I11" s="27"/>
      <c r="J11" s="65">
        <f>buu_wk!F38</f>
        <v>51.910580170000003</v>
      </c>
      <c r="K11" s="8">
        <f>J11/O11</f>
        <v>0.33707950916780854</v>
      </c>
      <c r="L11" s="65">
        <f>buu_wk!G38</f>
        <v>51.971373730000003</v>
      </c>
      <c r="M11" s="8">
        <f>L11/P11</f>
        <v>0.36803292717286801</v>
      </c>
      <c r="N11" s="27"/>
      <c r="O11" s="65">
        <f>E11+J11</f>
        <v>154.00099607999999</v>
      </c>
      <c r="P11" s="65">
        <f>G11+L11</f>
        <v>141.21392379</v>
      </c>
      <c r="Q11" s="8">
        <f>P11/O11</f>
        <v>0.91696760010982392</v>
      </c>
    </row>
    <row r="12" spans="1:18">
      <c r="C12" s="3" t="s">
        <v>51</v>
      </c>
      <c r="D12" s="15"/>
      <c r="E12" s="8">
        <f>E11/E5-1</f>
        <v>-7.1142628322994339E-3</v>
      </c>
      <c r="F12" s="8"/>
      <c r="G12" s="8">
        <f>G11/G5-1</f>
        <v>-1.7976559279504034E-2</v>
      </c>
      <c r="H12" s="8"/>
      <c r="I12" s="16"/>
      <c r="J12" s="8">
        <f>J11/J5-1</f>
        <v>0.29572860008115476</v>
      </c>
      <c r="K12" s="8"/>
      <c r="L12" s="8">
        <f>L11/L5-1</f>
        <v>0.29598362781998611</v>
      </c>
      <c r="M12" s="8"/>
      <c r="N12" s="16"/>
      <c r="O12" s="8">
        <f>O11/O5-1</f>
        <v>7.779855392209245E-2</v>
      </c>
      <c r="P12" s="8">
        <f>P11/P5-1</f>
        <v>7.8149399681640697E-2</v>
      </c>
      <c r="Q12" s="8"/>
    </row>
    <row r="13" spans="1:18">
      <c r="B13" s="3" t="str">
        <f>buu_wk!C39</f>
        <v>Q2</v>
      </c>
      <c r="C13" s="3" t="s">
        <v>49</v>
      </c>
      <c r="D13" s="15"/>
      <c r="E13" s="65">
        <f>buu_wk!D39</f>
        <v>104.34158102000001</v>
      </c>
      <c r="F13" s="8">
        <f>E13/O13</f>
        <v>0.66783872840537728</v>
      </c>
      <c r="G13" s="65">
        <f>buu_wk!E39</f>
        <v>95.125504530000001</v>
      </c>
      <c r="H13" s="8">
        <f>G13/P13</f>
        <v>0.64674275831540406</v>
      </c>
      <c r="I13" s="27"/>
      <c r="J13" s="65">
        <f>buu_wk!F39</f>
        <v>51.896110180000001</v>
      </c>
      <c r="K13" s="8">
        <f>J13/O13</f>
        <v>0.33216127159462278</v>
      </c>
      <c r="L13" s="65">
        <f>buu_wk!G39</f>
        <v>51.958484130000002</v>
      </c>
      <c r="M13" s="8">
        <f>L13/P13</f>
        <v>0.35325724168459605</v>
      </c>
      <c r="N13" s="27"/>
      <c r="O13" s="65">
        <f>E13+J13</f>
        <v>156.2376912</v>
      </c>
      <c r="P13" s="65">
        <f>G13+L13</f>
        <v>147.08398865999999</v>
      </c>
      <c r="Q13" s="8">
        <f>P13/O13</f>
        <v>0.94141168837241485</v>
      </c>
    </row>
    <row r="14" spans="1:18">
      <c r="C14" s="3" t="s">
        <v>51</v>
      </c>
      <c r="D14" s="15"/>
      <c r="E14" s="8">
        <f>E13/E6-1</f>
        <v>-2.823025205907348E-2</v>
      </c>
      <c r="F14" s="8"/>
      <c r="G14" s="8">
        <f>G13/G6-1</f>
        <v>-1.9753133883798513E-2</v>
      </c>
      <c r="H14" s="8"/>
      <c r="I14" s="16"/>
      <c r="J14" s="8">
        <f>J13/J6-1</f>
        <v>0.26472962903371977</v>
      </c>
      <c r="K14" s="8"/>
      <c r="L14" s="8">
        <f>L13/L6-1</f>
        <v>0.26521373976543017</v>
      </c>
      <c r="M14" s="8"/>
      <c r="N14" s="16"/>
      <c r="O14" s="8">
        <f>O13/O6-1</f>
        <v>5.2771330044321996E-2</v>
      </c>
      <c r="P14" s="8">
        <f>P13/P6-1</f>
        <v>6.4982063450712557E-2</v>
      </c>
      <c r="Q14" s="8"/>
    </row>
    <row r="15" spans="1:18">
      <c r="A15" s="9"/>
      <c r="B15" s="9" t="str">
        <f>buu_wk!C40</f>
        <v>Q3</v>
      </c>
      <c r="C15" s="9" t="s">
        <v>49</v>
      </c>
      <c r="D15" s="15"/>
      <c r="E15" s="68">
        <f>buu_wk!D40</f>
        <v>102.29181737</v>
      </c>
      <c r="F15" s="16">
        <f>E15/O15</f>
        <v>0.66646881968130556</v>
      </c>
      <c r="G15" s="68">
        <f>buu_wk!E40</f>
        <v>93.250301350000001</v>
      </c>
      <c r="H15" s="16">
        <f>G15/P15</f>
        <v>0.64508434475662146</v>
      </c>
      <c r="I15" s="27"/>
      <c r="J15" s="68">
        <f>buu_wk!F40</f>
        <v>51.191457990000004</v>
      </c>
      <c r="K15" s="16">
        <f>J15/O15</f>
        <v>0.33353118031869455</v>
      </c>
      <c r="L15" s="68">
        <f>buu_wk!G40</f>
        <v>51.304906209999999</v>
      </c>
      <c r="M15" s="16">
        <f>L15/P15</f>
        <v>0.35491565524337865</v>
      </c>
      <c r="N15" s="27"/>
      <c r="O15" s="68">
        <f>E15+J15</f>
        <v>153.48327535999999</v>
      </c>
      <c r="P15" s="68">
        <f>G15+L15</f>
        <v>144.55520755999999</v>
      </c>
      <c r="Q15" s="16">
        <f>P15/O15</f>
        <v>0.94183035396489334</v>
      </c>
    </row>
    <row r="16" spans="1:18">
      <c r="A16" s="9"/>
      <c r="B16" s="9"/>
      <c r="C16" s="9" t="s">
        <v>51</v>
      </c>
      <c r="D16" s="15"/>
      <c r="E16" s="16">
        <f>E15/E7-1</f>
        <v>-6.1377624073989612E-2</v>
      </c>
      <c r="F16" s="16"/>
      <c r="G16" s="16">
        <f>G15/G7-1</f>
        <v>-4.2773228901845872E-2</v>
      </c>
      <c r="H16" s="16"/>
      <c r="I16" s="16"/>
      <c r="J16" s="16">
        <f>J15/J7-1</f>
        <v>0.30714645907817184</v>
      </c>
      <c r="K16" s="16"/>
      <c r="L16" s="16">
        <f>L15/L7-1</f>
        <v>0.30764394784415572</v>
      </c>
      <c r="M16" s="16"/>
      <c r="N16" s="16"/>
      <c r="O16" s="16">
        <f>O15/O7-1</f>
        <v>3.6044222523167635E-2</v>
      </c>
      <c r="P16" s="16">
        <f>P15/P7-1</f>
        <v>5.7836398564456548E-2</v>
      </c>
      <c r="Q16" s="16"/>
    </row>
    <row r="17" spans="1:17" ht="16.149999999999999" customHeight="1">
      <c r="B17" s="3" t="str">
        <f>buu_wk!C41</f>
        <v>Q4</v>
      </c>
      <c r="C17" s="3" t="s">
        <v>49</v>
      </c>
      <c r="D17" s="15"/>
      <c r="E17" s="68">
        <f>buu_wk!D41</f>
        <v>103.20206614999999</v>
      </c>
      <c r="F17" s="8">
        <f>E17/O17</f>
        <v>0.66456964152391274</v>
      </c>
      <c r="G17" s="68">
        <f>buu_wk!E41</f>
        <v>95.161190469999994</v>
      </c>
      <c r="H17" s="8">
        <f>G17/P17</f>
        <v>0.64577139900581437</v>
      </c>
      <c r="I17" s="27"/>
      <c r="J17" s="68">
        <f>buu_wk!F41</f>
        <v>52.08950858</v>
      </c>
      <c r="K17" s="8">
        <f>J17/O17</f>
        <v>0.33543035847608732</v>
      </c>
      <c r="L17" s="68">
        <f>buu_wk!G41</f>
        <v>52.19930059</v>
      </c>
      <c r="M17" s="8">
        <f>L17/P17</f>
        <v>0.35422860099418568</v>
      </c>
      <c r="N17" s="27"/>
      <c r="O17" s="68">
        <f>E17+J17</f>
        <v>155.29157472999998</v>
      </c>
      <c r="P17" s="68">
        <f>G17+L17</f>
        <v>147.36049105999999</v>
      </c>
      <c r="Q17" s="8">
        <f>P17/O17</f>
        <v>0.94892779158309459</v>
      </c>
    </row>
    <row r="18" spans="1:17" ht="16.149999999999999" customHeight="1">
      <c r="B18" s="4"/>
      <c r="C18" s="4" t="s">
        <v>51</v>
      </c>
      <c r="D18" s="15"/>
      <c r="E18" s="13">
        <f>E17/E8-1</f>
        <v>-8.7210417300232268E-2</v>
      </c>
      <c r="F18" s="13"/>
      <c r="G18" s="13">
        <f>G17/G8-1</f>
        <v>-3.8925284550411332E-2</v>
      </c>
      <c r="H18" s="13"/>
      <c r="I18" s="27"/>
      <c r="J18" s="13">
        <f>J17/J8-1</f>
        <v>0.27615697918091864</v>
      </c>
      <c r="K18" s="13"/>
      <c r="L18" s="13">
        <f>L17/L8-1</f>
        <v>0.27627146996380358</v>
      </c>
      <c r="M18" s="13"/>
      <c r="N18" s="27"/>
      <c r="O18" s="13">
        <f>O17/O8-1</f>
        <v>9.1748466268528617E-3</v>
      </c>
      <c r="P18" s="13">
        <f>P17/P8-1</f>
        <v>5.3212625392989654E-2</v>
      </c>
      <c r="Q18" s="13"/>
    </row>
    <row r="19" spans="1:17">
      <c r="B19" s="3" t="s">
        <v>50</v>
      </c>
      <c r="C19" s="3" t="s">
        <v>49</v>
      </c>
      <c r="D19" s="15"/>
      <c r="E19" s="65">
        <f>E15+E13+E11+E17</f>
        <v>411.92588045000002</v>
      </c>
      <c r="F19" s="8">
        <f>E19/O19</f>
        <v>0.66545536661467475</v>
      </c>
      <c r="G19" s="65">
        <f>G15+G13+G11+G17</f>
        <v>372.77954641000002</v>
      </c>
      <c r="H19" s="8">
        <f>G19/P19</f>
        <v>0.64248673126185241</v>
      </c>
      <c r="I19" s="27"/>
      <c r="J19" s="65">
        <f>J15+J13+J11+J17</f>
        <v>207.08765692</v>
      </c>
      <c r="K19" s="8">
        <f>J19/O19</f>
        <v>0.33454463338532531</v>
      </c>
      <c r="L19" s="65">
        <f>L15+L13+L11+L17</f>
        <v>207.43406466000002</v>
      </c>
      <c r="M19" s="8">
        <f>L19/P19</f>
        <v>0.3575132687381477</v>
      </c>
      <c r="N19" s="27"/>
      <c r="O19" s="65">
        <f>O15+O13+O11+O17</f>
        <v>619.01353736999999</v>
      </c>
      <c r="P19" s="65">
        <f>P15+P13+P11+P17</f>
        <v>580.21361106999996</v>
      </c>
      <c r="Q19" s="8">
        <f>P19/O19</f>
        <v>0.93731974511438132</v>
      </c>
    </row>
    <row r="20" spans="1:17">
      <c r="A20" s="4"/>
      <c r="B20" s="4"/>
      <c r="C20" s="4" t="s">
        <v>51</v>
      </c>
      <c r="D20" s="15"/>
      <c r="E20" s="13">
        <f>E19/E9-1</f>
        <v>-4.6992316560337422E-2</v>
      </c>
      <c r="F20" s="13"/>
      <c r="G20" s="13">
        <f>G19/G9-1</f>
        <v>-3.0106795937300368E-2</v>
      </c>
      <c r="H20" s="13"/>
      <c r="I20" s="16"/>
      <c r="J20" s="13">
        <f>J19/J9-1</f>
        <v>0.28564828455974012</v>
      </c>
      <c r="K20" s="13"/>
      <c r="L20" s="13">
        <f>L19/L9-1</f>
        <v>0.28598778859806795</v>
      </c>
      <c r="M20" s="13"/>
      <c r="N20" s="16"/>
      <c r="O20" s="13">
        <f>O19/O9-1</f>
        <v>4.3314923379017323E-2</v>
      </c>
      <c r="P20" s="13">
        <f>P19/P9-1</f>
        <v>6.33353084653836E-2</v>
      </c>
      <c r="Q20" s="13"/>
    </row>
    <row r="21" spans="1:17">
      <c r="A21" s="92">
        <f>buu_wk!B54</f>
        <v>2006</v>
      </c>
      <c r="B21" s="92"/>
      <c r="C21" s="92"/>
      <c r="D21" s="15"/>
      <c r="E21" s="27"/>
      <c r="F21" s="16"/>
      <c r="G21" s="27"/>
      <c r="H21" s="16"/>
      <c r="I21" s="27"/>
      <c r="J21" s="27"/>
      <c r="K21" s="16"/>
      <c r="L21" s="27"/>
      <c r="M21" s="16"/>
      <c r="N21" s="27"/>
      <c r="O21" s="27"/>
      <c r="P21" s="27"/>
      <c r="Q21" s="16"/>
    </row>
    <row r="22" spans="1:17">
      <c r="A22" s="15"/>
      <c r="B22" s="9" t="str">
        <f>buu_wk!C54</f>
        <v>Q1</v>
      </c>
      <c r="C22" s="9" t="s">
        <v>49</v>
      </c>
      <c r="D22" s="15"/>
      <c r="E22" s="68">
        <f>buu_wk!D53</f>
        <v>100.35463755000001</v>
      </c>
      <c r="F22" s="16">
        <f>E22/O22</f>
        <v>0.66198493654475754</v>
      </c>
      <c r="G22" s="68">
        <f>buu_wk!E53</f>
        <v>94.653405469999996</v>
      </c>
      <c r="H22" s="16">
        <f>G22/P22</f>
        <v>0.64873655248516371</v>
      </c>
      <c r="I22" s="27"/>
      <c r="J22" s="68">
        <f>buu_wk!F53</f>
        <v>51.241920030000003</v>
      </c>
      <c r="K22" s="16">
        <f>J22/O22</f>
        <v>0.33801506345524229</v>
      </c>
      <c r="L22" s="68">
        <f>buu_wk!G53</f>
        <v>51.25082192</v>
      </c>
      <c r="M22" s="16">
        <f>L22/P22</f>
        <v>0.35126344751483629</v>
      </c>
      <c r="N22" s="27"/>
      <c r="O22" s="68">
        <f>E22+J22</f>
        <v>151.59655758000002</v>
      </c>
      <c r="P22" s="68">
        <f>G22+L22</f>
        <v>145.90422738999999</v>
      </c>
      <c r="Q22" s="16">
        <f>P22/O22</f>
        <v>0.96245079518381482</v>
      </c>
    </row>
    <row r="23" spans="1:17">
      <c r="A23" s="9"/>
      <c r="B23" s="9"/>
      <c r="C23" s="9" t="s">
        <v>51</v>
      </c>
      <c r="D23" s="15"/>
      <c r="E23" s="16">
        <f>E22/E11-1</f>
        <v>-1.7002363488559102E-2</v>
      </c>
      <c r="F23" s="16"/>
      <c r="G23" s="16">
        <f>G22/G11-1</f>
        <v>6.0630891949660093E-2</v>
      </c>
      <c r="H23" s="16"/>
      <c r="I23" s="16"/>
      <c r="J23" s="16">
        <f>J22/J11-1</f>
        <v>-1.2880999168382035E-2</v>
      </c>
      <c r="K23" s="16"/>
      <c r="L23" s="16">
        <f>L22/L11-1</f>
        <v>-1.3864398000010381E-2</v>
      </c>
      <c r="M23" s="16"/>
      <c r="N23" s="16"/>
      <c r="O23" s="16">
        <f>O22/O11-1</f>
        <v>-1.56131360264119E-2</v>
      </c>
      <c r="P23" s="16">
        <f>P22/P11-1</f>
        <v>3.3214172328891456E-2</v>
      </c>
      <c r="Q23" s="16"/>
    </row>
    <row r="24" spans="1:17">
      <c r="B24" s="3" t="str">
        <f>buu_wk!C59</f>
        <v>Q2</v>
      </c>
      <c r="C24" s="3" t="s">
        <v>49</v>
      </c>
      <c r="D24" s="15"/>
      <c r="E24" s="65">
        <f>buu_wk!D59</f>
        <v>103.11026974000001</v>
      </c>
      <c r="F24" s="8">
        <f>E24/O24</f>
        <v>0.65891737283807372</v>
      </c>
      <c r="G24" s="65">
        <f>buu_wk!E59</f>
        <v>99.198241589999995</v>
      </c>
      <c r="H24" s="8">
        <f>G24/P24</f>
        <v>0.65303411047437276</v>
      </c>
      <c r="I24" s="27"/>
      <c r="J24" s="65">
        <f>buu_wk!F59</f>
        <v>53.374099909999998</v>
      </c>
      <c r="K24" s="8">
        <f>J24/O24</f>
        <v>0.34108262716192622</v>
      </c>
      <c r="L24" s="65">
        <f>buu_wk!G59</f>
        <v>52.705372629999999</v>
      </c>
      <c r="M24" s="8">
        <f>L24/P24</f>
        <v>0.34696588952562707</v>
      </c>
      <c r="N24" s="27"/>
      <c r="O24" s="65">
        <f>E24+J24</f>
        <v>156.48436965000002</v>
      </c>
      <c r="P24" s="65">
        <f>G24+L24</f>
        <v>151.90361422000001</v>
      </c>
      <c r="Q24" s="8">
        <f>P24/O24</f>
        <v>0.97072707363524202</v>
      </c>
    </row>
    <row r="25" spans="1:17">
      <c r="A25" s="9"/>
      <c r="B25" s="9"/>
      <c r="C25" s="9" t="s">
        <v>51</v>
      </c>
      <c r="D25" s="15"/>
      <c r="E25" s="16">
        <f>E24/E13-1</f>
        <v>-1.1800772692566186E-2</v>
      </c>
      <c r="F25" s="16"/>
      <c r="G25" s="16">
        <f>G24/G13-1</f>
        <v>4.2814354363982066E-2</v>
      </c>
      <c r="H25" s="16"/>
      <c r="I25" s="16"/>
      <c r="J25" s="16">
        <f>J24/J13-1</f>
        <v>2.8479778636079534E-2</v>
      </c>
      <c r="K25" s="16"/>
      <c r="L25" s="16">
        <f>L24/L13-1</f>
        <v>1.437471690150316E-2</v>
      </c>
      <c r="M25" s="16"/>
      <c r="N25" s="16"/>
      <c r="O25" s="16">
        <f>O24/O13-1</f>
        <v>1.5788664572893296E-3</v>
      </c>
      <c r="P25" s="16">
        <f>P24/P13-1</f>
        <v>3.2767846479476948E-2</v>
      </c>
      <c r="Q25" s="16"/>
    </row>
    <row r="26" spans="1:17">
      <c r="A26" s="9"/>
      <c r="B26" s="9" t="str">
        <f>buu_wk!C66</f>
        <v>Q3</v>
      </c>
      <c r="C26" s="9" t="s">
        <v>49</v>
      </c>
      <c r="D26" s="15"/>
      <c r="E26" s="68">
        <f>buu_wk!D66</f>
        <v>103.81093528</v>
      </c>
      <c r="F26" s="16">
        <f>E26/O26</f>
        <v>0.65697604609448423</v>
      </c>
      <c r="G26" s="68">
        <f>buu_wk!E66</f>
        <v>96.552682309999994</v>
      </c>
      <c r="H26" s="16">
        <f>G26/P26</f>
        <v>0.64372001135458823</v>
      </c>
      <c r="I26" s="27"/>
      <c r="J26" s="68">
        <f>buu_wk!F66</f>
        <v>54.202337649999997</v>
      </c>
      <c r="K26" s="16">
        <f>J26/O26</f>
        <v>0.34302395390551571</v>
      </c>
      <c r="L26" s="68">
        <f>buu_wk!G66</f>
        <v>53.439054169999999</v>
      </c>
      <c r="M26" s="16">
        <f>L26/P26</f>
        <v>0.35627998864541183</v>
      </c>
      <c r="N26" s="27"/>
      <c r="O26" s="68">
        <f>E26+J26</f>
        <v>158.01327293</v>
      </c>
      <c r="P26" s="68">
        <f>G26+L26</f>
        <v>149.99173647999999</v>
      </c>
      <c r="Q26" s="16">
        <f>P26/O26</f>
        <v>0.94923504651692414</v>
      </c>
    </row>
    <row r="27" spans="1:17">
      <c r="A27" s="9"/>
      <c r="B27" s="9"/>
      <c r="C27" s="9" t="s">
        <v>81</v>
      </c>
      <c r="D27" s="15"/>
      <c r="E27" s="16">
        <f>E26/E15-1</f>
        <v>1.4850825306047533E-2</v>
      </c>
      <c r="F27" s="16"/>
      <c r="G27" s="16">
        <f>G26/G15-1</f>
        <v>3.5414158583842337E-2</v>
      </c>
      <c r="H27" s="16"/>
      <c r="I27" s="16"/>
      <c r="J27" s="16">
        <f>J26/J15-1</f>
        <v>5.8816056002705563E-2</v>
      </c>
      <c r="K27" s="16"/>
      <c r="L27" s="16">
        <f>L26/L15-1</f>
        <v>4.1597346485042985E-2</v>
      </c>
      <c r="M27" s="16"/>
      <c r="N27" s="16"/>
      <c r="O27" s="16">
        <f>O26/O15-1</f>
        <v>2.951460059328781E-2</v>
      </c>
      <c r="P27" s="16">
        <f>P26/P15-1</f>
        <v>3.7608668769290032E-2</v>
      </c>
      <c r="Q27" s="16"/>
    </row>
    <row r="28" spans="1:17" ht="16.149999999999999" customHeight="1">
      <c r="B28" s="3" t="str">
        <f>buu_wk!C73</f>
        <v>Q4</v>
      </c>
      <c r="C28" s="3" t="s">
        <v>49</v>
      </c>
      <c r="D28" s="15"/>
      <c r="E28" s="68">
        <f>buu_wk!D73</f>
        <v>106.49198345000001</v>
      </c>
      <c r="F28" s="8">
        <f>E28/O28</f>
        <v>0.66080475514728931</v>
      </c>
      <c r="G28" s="68">
        <f>buu_wk!E73</f>
        <v>100.78159435000001</v>
      </c>
      <c r="H28" s="8">
        <f>G28/P28</f>
        <v>0.65156583275855517</v>
      </c>
      <c r="I28" s="27"/>
      <c r="J28" s="68">
        <f>buu_wk!F73</f>
        <v>54.663006160000002</v>
      </c>
      <c r="K28" s="8">
        <f>J28/O28</f>
        <v>0.33919524485271074</v>
      </c>
      <c r="L28" s="68">
        <f>buu_wk!G73</f>
        <v>53.894401969999997</v>
      </c>
      <c r="M28" s="8">
        <f>L28/P28</f>
        <v>0.34843416724144494</v>
      </c>
      <c r="N28" s="27"/>
      <c r="O28" s="68">
        <f>E28+J28</f>
        <v>161.15498961</v>
      </c>
      <c r="P28" s="68">
        <f>G28+L28</f>
        <v>154.67599632</v>
      </c>
      <c r="Q28" s="8">
        <f>P28/O28</f>
        <v>0.95979650828262053</v>
      </c>
    </row>
    <row r="29" spans="1:17" ht="16.149999999999999" customHeight="1">
      <c r="B29" s="4"/>
      <c r="C29" s="4" t="s">
        <v>51</v>
      </c>
      <c r="D29" s="15"/>
      <c r="E29" s="13">
        <f>E28/E17-1</f>
        <v>3.1878405372410379E-2</v>
      </c>
      <c r="F29" s="13"/>
      <c r="G29" s="13">
        <f>G28/G17-1</f>
        <v>5.9061933254942467E-2</v>
      </c>
      <c r="H29" s="13"/>
      <c r="I29" s="27"/>
      <c r="J29" s="13">
        <f>J28/J17-1</f>
        <v>4.9405295810145189E-2</v>
      </c>
      <c r="K29" s="13"/>
      <c r="L29" s="13">
        <f>L28/L17-1</f>
        <v>3.2473641616660442E-2</v>
      </c>
      <c r="M29" s="13"/>
      <c r="N29" s="27"/>
      <c r="O29" s="13">
        <f>O28/O17-1</f>
        <v>3.7757456514911025E-2</v>
      </c>
      <c r="P29" s="13">
        <f>P28/P17-1</f>
        <v>4.9643599905088598E-2</v>
      </c>
      <c r="Q29" s="13"/>
    </row>
    <row r="30" spans="1:17">
      <c r="B30" s="3" t="s">
        <v>50</v>
      </c>
      <c r="C30" s="3" t="s">
        <v>49</v>
      </c>
      <c r="D30" s="15"/>
      <c r="E30" s="68">
        <f>E26+E24+E22+E28</f>
        <v>413.76782602000003</v>
      </c>
      <c r="F30" s="8">
        <f>E30/O30</f>
        <v>0.65965462015458409</v>
      </c>
      <c r="G30" s="68">
        <f>G26+G24+G22+G28</f>
        <v>391.18592372000001</v>
      </c>
      <c r="H30" s="8">
        <f>G30/P30</f>
        <v>0.64929756547074235</v>
      </c>
      <c r="I30" s="27"/>
      <c r="J30" s="68">
        <f>J26+J24+J22+J28</f>
        <v>213.48136375000001</v>
      </c>
      <c r="K30" s="8">
        <f>J30/O30</f>
        <v>0.34034537984541591</v>
      </c>
      <c r="L30" s="68">
        <f>L26+L24+L22+L28</f>
        <v>211.28965068999997</v>
      </c>
      <c r="M30" s="8">
        <f>L30/P30</f>
        <v>0.35070243452925776</v>
      </c>
      <c r="N30" s="27"/>
      <c r="O30" s="68">
        <f>O26+O24+O22+O28</f>
        <v>627.24918977000004</v>
      </c>
      <c r="P30" s="68">
        <f>P26+P24+P22+P28</f>
        <v>602.47557440999992</v>
      </c>
      <c r="Q30" s="8">
        <f>P30/O30</f>
        <v>0.96050434856825539</v>
      </c>
    </row>
    <row r="31" spans="1:17">
      <c r="A31" s="4"/>
      <c r="B31" s="4"/>
      <c r="C31" s="4" t="s">
        <v>51</v>
      </c>
      <c r="D31" s="15"/>
      <c r="E31" s="13">
        <f>E30/E19-1</f>
        <v>4.4715461140432122E-3</v>
      </c>
      <c r="F31" s="13"/>
      <c r="G31" s="13">
        <f>G30/G19-1</f>
        <v>4.9376038699708635E-2</v>
      </c>
      <c r="H31" s="13"/>
      <c r="I31" s="16"/>
      <c r="J31" s="13">
        <f>J30/J19-1</f>
        <v>3.0874398431529615E-2</v>
      </c>
      <c r="K31" s="13"/>
      <c r="L31" s="13">
        <f>L30/L19-1</f>
        <v>1.8587043725530661E-2</v>
      </c>
      <c r="M31" s="13"/>
      <c r="N31" s="16"/>
      <c r="O31" s="13">
        <f>O30/O19-1</f>
        <v>1.3304478662923724E-2</v>
      </c>
      <c r="P31" s="13">
        <f>P30/P19-1</f>
        <v>3.836856446532777E-2</v>
      </c>
      <c r="Q31" s="13"/>
    </row>
    <row r="32" spans="1:17">
      <c r="A32" s="34" t="str">
        <f>說明!B18</f>
        <v>1.</v>
      </c>
      <c r="B32" s="34" t="str">
        <f>說明!C18</f>
        <v>資料來源：總額各案件核定醫療費用分攤明細(PHFB_DECIDE_DIST)</v>
      </c>
      <c r="E32" s="7"/>
      <c r="F32" s="8"/>
      <c r="G32" s="7"/>
      <c r="H32" s="8"/>
      <c r="J32" s="7"/>
      <c r="K32" s="8"/>
      <c r="L32" s="7"/>
      <c r="M32" s="8"/>
      <c r="O32" s="7"/>
      <c r="P32" s="7"/>
      <c r="Q32" s="8"/>
    </row>
    <row r="33" spans="1:17">
      <c r="A33" s="34" t="str">
        <f>說明!B19</f>
        <v>2.</v>
      </c>
      <c r="B33" s="34" t="str">
        <f>說明!C19</f>
        <v>資料處理：</v>
      </c>
      <c r="E33" s="7"/>
      <c r="F33" s="8"/>
      <c r="G33" s="7"/>
      <c r="H33" s="8"/>
      <c r="J33" s="7"/>
      <c r="K33" s="8"/>
      <c r="L33" s="7"/>
      <c r="M33" s="8"/>
      <c r="O33" s="7"/>
      <c r="P33" s="7"/>
      <c r="Q33" s="8"/>
    </row>
    <row r="34" spans="1:17">
      <c r="A34" s="34"/>
      <c r="B34" s="34" t="str">
        <f>說明!C20</f>
        <v>※本表僅含當季核定之送核、補報資料</v>
      </c>
      <c r="E34" s="7"/>
      <c r="F34" s="8"/>
      <c r="G34" s="7"/>
      <c r="H34" s="8"/>
      <c r="J34" s="7"/>
      <c r="K34" s="8"/>
      <c r="L34" s="7"/>
      <c r="M34" s="8"/>
      <c r="O34" s="7"/>
      <c r="P34" s="7"/>
      <c r="Q34" s="8"/>
    </row>
    <row r="35" spans="1:17">
      <c r="A35" s="34"/>
      <c r="B35" s="34" t="str">
        <f>說明!C21</f>
        <v>※本表不含申複、爭議審議等之核定醫療點數及費用</v>
      </c>
      <c r="E35" s="7"/>
      <c r="F35" s="8"/>
      <c r="G35" s="7"/>
      <c r="H35" s="8"/>
      <c r="J35" s="7"/>
      <c r="K35" s="8"/>
      <c r="L35" s="7"/>
      <c r="M35" s="8"/>
      <c r="O35" s="7"/>
      <c r="P35" s="7"/>
      <c r="Q35" s="8"/>
    </row>
    <row r="36" spans="1:17">
      <c r="A36" s="34"/>
      <c r="B36" s="34" t="str">
        <f>說明!C22</f>
        <v>※本表不含代辦、總額外及追扣、補付付款之項目</v>
      </c>
      <c r="E36" s="7"/>
      <c r="F36" s="8"/>
      <c r="G36" s="7"/>
      <c r="H36" s="8"/>
      <c r="J36" s="7"/>
      <c r="K36" s="8"/>
      <c r="L36" s="7"/>
      <c r="M36" s="8"/>
      <c r="O36" s="7"/>
      <c r="P36" s="7"/>
      <c r="Q36" s="8"/>
    </row>
    <row r="37" spans="1:17">
      <c r="A37" s="34"/>
      <c r="B37" s="34" t="str">
        <f>說明!C23</f>
        <v>※本表所謂浮動點值部分係指各總額別中一般部門預算之浮動點值部份</v>
      </c>
      <c r="E37" s="7"/>
      <c r="F37" s="8"/>
      <c r="G37" s="7"/>
      <c r="H37" s="8"/>
      <c r="J37" s="7"/>
      <c r="K37" s="8"/>
      <c r="L37" s="7"/>
      <c r="M37" s="8"/>
      <c r="O37" s="7"/>
      <c r="P37" s="7"/>
      <c r="Q37" s="8"/>
    </row>
    <row r="38" spans="1:17">
      <c r="A38" s="34"/>
      <c r="B38" s="34" t="str">
        <f>說明!C24</f>
        <v>※本表所謂固定點值部分係指各總額別中一般部門預算之非浮動點值及專款部份</v>
      </c>
    </row>
    <row r="39" spans="1:17">
      <c r="A39" s="34"/>
      <c r="B39" s="34" t="str">
        <f>說明!C25</f>
        <v>※層級別中不含處方釋出之醫療點數及費用</v>
      </c>
    </row>
    <row r="40" spans="1:17">
      <c r="A40" s="34"/>
      <c r="B40" s="34"/>
    </row>
  </sheetData>
  <mergeCells count="7">
    <mergeCell ref="A21:C21"/>
    <mergeCell ref="A10:C10"/>
    <mergeCell ref="A1:Q1"/>
    <mergeCell ref="E2:H2"/>
    <mergeCell ref="J2:M2"/>
    <mergeCell ref="O2:Q2"/>
    <mergeCell ref="A4:C4"/>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sheetPr codeName="Sheet2">
    <pageSetUpPr fitToPage="1"/>
  </sheetPr>
  <dimension ref="A1:R40"/>
  <sheetViews>
    <sheetView showGridLines="0" zoomScale="75" workbookViewId="0">
      <pane ySplit="3" topLeftCell="A10" activePane="bottomLeft" state="frozen"/>
      <selection pane="bottomLeft" activeCell="R2" sqref="R2"/>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375" style="3" bestFit="1" customWidth="1"/>
    <col min="6" max="6" width="11.125" style="3" bestFit="1" customWidth="1"/>
    <col min="7" max="7" width="11.5" style="3" bestFit="1" customWidth="1"/>
    <col min="8" max="8" width="11.125" style="3" bestFit="1" customWidth="1"/>
    <col min="9" max="9" width="1.875" style="3" customWidth="1"/>
    <col min="10" max="10" width="15.125" style="3" bestFit="1" customWidth="1"/>
    <col min="11" max="11" width="11.125" style="3" bestFit="1" customWidth="1"/>
    <col min="12" max="12" width="11.5" style="3" bestFit="1" customWidth="1"/>
    <col min="13" max="13" width="11.125" style="3" bestFit="1" customWidth="1"/>
    <col min="14" max="14" width="2.25" style="3" customWidth="1"/>
    <col min="15" max="15" width="11.375" style="3" customWidth="1"/>
    <col min="16" max="16" width="11.75" style="3" customWidth="1"/>
    <col min="17" max="17" width="11.5" style="3" bestFit="1" customWidth="1"/>
    <col min="18" max="16384" width="8.875" style="2"/>
  </cols>
  <sheetData>
    <row r="1" spans="1:18" ht="40.9" customHeight="1">
      <c r="A1" s="89" t="s">
        <v>209</v>
      </c>
      <c r="B1" s="89"/>
      <c r="C1" s="89"/>
      <c r="D1" s="89"/>
      <c r="E1" s="89"/>
      <c r="F1" s="89"/>
      <c r="G1" s="89"/>
      <c r="H1" s="89"/>
      <c r="I1" s="89"/>
      <c r="J1" s="89"/>
      <c r="K1" s="89"/>
      <c r="L1" s="89"/>
      <c r="M1" s="89"/>
      <c r="N1" s="89"/>
      <c r="O1" s="89"/>
      <c r="P1" s="89"/>
      <c r="Q1" s="89"/>
    </row>
    <row r="2" spans="1:18" s="3" customFormat="1">
      <c r="E2" s="90" t="s">
        <v>62</v>
      </c>
      <c r="F2" s="90"/>
      <c r="G2" s="90"/>
      <c r="H2" s="90"/>
      <c r="J2" s="90" t="s">
        <v>63</v>
      </c>
      <c r="K2" s="90"/>
      <c r="L2" s="90"/>
      <c r="M2" s="90"/>
      <c r="O2" s="90" t="s">
        <v>64</v>
      </c>
      <c r="P2" s="90"/>
      <c r="Q2" s="90"/>
      <c r="R2" s="84"/>
    </row>
    <row r="3" spans="1:18" s="3" customFormat="1" ht="33">
      <c r="A3" s="4" t="s">
        <v>65</v>
      </c>
      <c r="B3" s="4" t="s">
        <v>66</v>
      </c>
      <c r="C3" s="4" t="s">
        <v>67</v>
      </c>
      <c r="E3" s="5" t="s">
        <v>218</v>
      </c>
      <c r="F3" s="6" t="s">
        <v>68</v>
      </c>
      <c r="G3" s="35" t="s">
        <v>219</v>
      </c>
      <c r="H3" s="6" t="s">
        <v>68</v>
      </c>
      <c r="J3" s="5" t="s">
        <v>218</v>
      </c>
      <c r="K3" s="6" t="s">
        <v>68</v>
      </c>
      <c r="L3" s="35" t="s">
        <v>219</v>
      </c>
      <c r="M3" s="6" t="s">
        <v>68</v>
      </c>
      <c r="O3" s="5" t="s">
        <v>220</v>
      </c>
      <c r="P3" s="35" t="s">
        <v>221</v>
      </c>
      <c r="Q3" s="35" t="s">
        <v>216</v>
      </c>
    </row>
    <row r="4" spans="1:18">
      <c r="A4" s="88">
        <f>buu_wk!B18</f>
        <v>2004</v>
      </c>
      <c r="B4" s="88"/>
      <c r="C4" s="88"/>
      <c r="D4" s="9"/>
      <c r="E4" s="10"/>
      <c r="F4" s="9"/>
      <c r="G4" s="9"/>
      <c r="H4" s="9"/>
      <c r="I4" s="9"/>
      <c r="J4" s="10"/>
      <c r="K4" s="9"/>
      <c r="L4" s="9"/>
      <c r="M4" s="9"/>
      <c r="N4" s="9"/>
      <c r="O4" s="10"/>
      <c r="P4" s="9"/>
      <c r="Q4" s="9"/>
    </row>
    <row r="5" spans="1:18">
      <c r="A5" s="2"/>
      <c r="B5" s="3" t="str">
        <f>buu_wk!C18</f>
        <v>Q1</v>
      </c>
      <c r="C5" s="3" t="s">
        <v>69</v>
      </c>
      <c r="D5" s="15"/>
      <c r="E5" s="65">
        <f>buu_wk!D18</f>
        <v>124.43031643</v>
      </c>
      <c r="F5" s="8">
        <f t="shared" ref="F5:F11" si="0">E5/O5</f>
        <v>0.7321327096788941</v>
      </c>
      <c r="G5" s="65">
        <f>buu_wk!E18</f>
        <v>110.78843276000001</v>
      </c>
      <c r="H5" s="8">
        <f t="shared" ref="H5:H11" si="1">G5/P5</f>
        <v>0.70875259213142594</v>
      </c>
      <c r="I5" s="16"/>
      <c r="J5" s="65">
        <f>buu_wk!F18</f>
        <v>45.525642079999997</v>
      </c>
      <c r="K5" s="8">
        <f t="shared" ref="K5:K11" si="2">J5/O5</f>
        <v>0.26786729032110584</v>
      </c>
      <c r="L5" s="65">
        <f>buu_wk!G18</f>
        <v>45.526244589999997</v>
      </c>
      <c r="M5" s="8">
        <f t="shared" ref="M5:M11" si="3">L5/P5</f>
        <v>0.291247407868574</v>
      </c>
      <c r="N5" s="16"/>
      <c r="O5" s="65">
        <f>E5+J5</f>
        <v>169.95595851000002</v>
      </c>
      <c r="P5" s="65">
        <f>G5+L5</f>
        <v>156.31467735000001</v>
      </c>
      <c r="Q5" s="8">
        <f t="shared" ref="Q5:Q11" si="4">P5/O5</f>
        <v>0.91973637594355151</v>
      </c>
    </row>
    <row r="6" spans="1:18">
      <c r="B6" s="3" t="str">
        <f>buu_wk!C19</f>
        <v>Q2</v>
      </c>
      <c r="C6" s="3" t="s">
        <v>69</v>
      </c>
      <c r="D6" s="15"/>
      <c r="E6" s="65">
        <f>buu_wk!D19</f>
        <v>130.46335065</v>
      </c>
      <c r="F6" s="8">
        <f t="shared" si="0"/>
        <v>0.73770927687099963</v>
      </c>
      <c r="G6" s="65">
        <f>buu_wk!E19</f>
        <v>114.41500173999999</v>
      </c>
      <c r="H6" s="8">
        <f t="shared" si="1"/>
        <v>0.71152070507658471</v>
      </c>
      <c r="I6" s="27"/>
      <c r="J6" s="65">
        <f>buu_wk!F19</f>
        <v>46.385924180000004</v>
      </c>
      <c r="K6" s="8">
        <f t="shared" si="2"/>
        <v>0.26229072312900026</v>
      </c>
      <c r="L6" s="65">
        <f>buu_wk!G19</f>
        <v>46.388473019999999</v>
      </c>
      <c r="M6" s="8">
        <f t="shared" si="3"/>
        <v>0.28847929492341523</v>
      </c>
      <c r="N6" s="27"/>
      <c r="O6" s="65">
        <f>E6+J6</f>
        <v>176.84927483000001</v>
      </c>
      <c r="P6" s="65">
        <f>G6+L6</f>
        <v>160.80347476</v>
      </c>
      <c r="Q6" s="8">
        <f t="shared" si="4"/>
        <v>0.90926849948678401</v>
      </c>
    </row>
    <row r="7" spans="1:18">
      <c r="B7" s="3" t="str">
        <f>buu_wk!C20</f>
        <v>Q3</v>
      </c>
      <c r="C7" s="3" t="s">
        <v>69</v>
      </c>
      <c r="D7" s="15"/>
      <c r="E7" s="65">
        <f>buu_wk!D20</f>
        <v>136.25138709000001</v>
      </c>
      <c r="F7" s="8">
        <f t="shared" si="0"/>
        <v>0.74025786849765873</v>
      </c>
      <c r="G7" s="65">
        <f>buu_wk!E20</f>
        <v>116.27455209999999</v>
      </c>
      <c r="H7" s="8">
        <f t="shared" si="1"/>
        <v>0.70859178023838165</v>
      </c>
      <c r="I7" s="27"/>
      <c r="J7" s="65">
        <f>buu_wk!F20</f>
        <v>47.807969640000003</v>
      </c>
      <c r="K7" s="8">
        <f t="shared" si="2"/>
        <v>0.25974213150234127</v>
      </c>
      <c r="L7" s="65">
        <f>buu_wk!G20</f>
        <v>47.817884960000001</v>
      </c>
      <c r="M7" s="8">
        <f t="shared" si="3"/>
        <v>0.29140821976161829</v>
      </c>
      <c r="N7" s="27"/>
      <c r="O7" s="65">
        <f>E7+J7</f>
        <v>184.05935673000002</v>
      </c>
      <c r="P7" s="65">
        <f>G7+L7</f>
        <v>164.09243706000001</v>
      </c>
      <c r="Q7" s="8">
        <f t="shared" si="4"/>
        <v>0.89151912717325288</v>
      </c>
    </row>
    <row r="8" spans="1:18">
      <c r="B8" s="4" t="str">
        <f>buu_wk!C21</f>
        <v>Q4</v>
      </c>
      <c r="C8" s="4" t="s">
        <v>69</v>
      </c>
      <c r="D8" s="15"/>
      <c r="E8" s="66">
        <f>buu_wk!D21</f>
        <v>139.26876419999999</v>
      </c>
      <c r="F8" s="13">
        <f t="shared" si="0"/>
        <v>0.73729048328242985</v>
      </c>
      <c r="G8" s="66">
        <f>buu_wk!E21</f>
        <v>117.68625659</v>
      </c>
      <c r="H8" s="13">
        <f t="shared" si="1"/>
        <v>0.70336014183658857</v>
      </c>
      <c r="I8" s="27"/>
      <c r="J8" s="66">
        <f>buu_wk!F21</f>
        <v>49.623900710000001</v>
      </c>
      <c r="K8" s="13">
        <f t="shared" si="2"/>
        <v>0.26270951671757004</v>
      </c>
      <c r="L8" s="66">
        <f>buu_wk!G21</f>
        <v>49.633796949999997</v>
      </c>
      <c r="M8" s="13">
        <f t="shared" si="3"/>
        <v>0.29663985816341137</v>
      </c>
      <c r="N8" s="27"/>
      <c r="O8" s="66">
        <f>E8+J8</f>
        <v>188.89266491000001</v>
      </c>
      <c r="P8" s="66">
        <f>G8+L8</f>
        <v>167.32005354</v>
      </c>
      <c r="Q8" s="13">
        <f t="shared" si="4"/>
        <v>0.8857943405040184</v>
      </c>
    </row>
    <row r="9" spans="1:18">
      <c r="A9" s="4"/>
      <c r="B9" s="4" t="s">
        <v>70</v>
      </c>
      <c r="C9" s="4" t="s">
        <v>69</v>
      </c>
      <c r="D9" s="15"/>
      <c r="E9" s="66">
        <f>SUM(E5:E8)</f>
        <v>530.41381836999994</v>
      </c>
      <c r="F9" s="13">
        <f t="shared" si="0"/>
        <v>0.73693431320082847</v>
      </c>
      <c r="G9" s="66">
        <f>SUM(G5:G8)</f>
        <v>459.16424318999998</v>
      </c>
      <c r="H9" s="13">
        <f t="shared" si="1"/>
        <v>0.70800701300913249</v>
      </c>
      <c r="I9" s="27"/>
      <c r="J9" s="66">
        <f>SUM(J5:J8)</f>
        <v>189.34343661000003</v>
      </c>
      <c r="K9" s="13">
        <f t="shared" si="2"/>
        <v>0.26306568679917136</v>
      </c>
      <c r="L9" s="66">
        <f>SUM(L5:L8)</f>
        <v>189.36639951999999</v>
      </c>
      <c r="M9" s="13">
        <f t="shared" si="3"/>
        <v>0.29199298699086756</v>
      </c>
      <c r="N9" s="27"/>
      <c r="O9" s="66">
        <f>SUM(O5:O8)</f>
        <v>719.75725498000008</v>
      </c>
      <c r="P9" s="66">
        <f>SUM(P5:P8)</f>
        <v>648.53064270999994</v>
      </c>
      <c r="Q9" s="13">
        <f t="shared" si="4"/>
        <v>0.90104078593555914</v>
      </c>
    </row>
    <row r="10" spans="1:18">
      <c r="A10" s="88">
        <v>2005</v>
      </c>
      <c r="B10" s="88"/>
      <c r="C10" s="88"/>
      <c r="D10" s="15"/>
      <c r="E10" s="7"/>
      <c r="F10" s="8"/>
      <c r="G10" s="7"/>
      <c r="H10" s="8"/>
      <c r="I10" s="27"/>
      <c r="J10" s="7"/>
      <c r="K10" s="8"/>
      <c r="L10" s="7"/>
      <c r="M10" s="8"/>
      <c r="N10" s="27"/>
      <c r="O10" s="7"/>
      <c r="P10" s="7"/>
      <c r="Q10" s="8"/>
    </row>
    <row r="11" spans="1:18">
      <c r="A11" s="2"/>
      <c r="B11" s="3" t="str">
        <f>buu_wk!C22</f>
        <v>Q1</v>
      </c>
      <c r="C11" s="3" t="s">
        <v>69</v>
      </c>
      <c r="D11" s="15"/>
      <c r="E11" s="65">
        <f>buu_wk!D22</f>
        <v>122.51363062999999</v>
      </c>
      <c r="F11" s="8">
        <f t="shared" si="0"/>
        <v>0.66679700575289147</v>
      </c>
      <c r="G11" s="65">
        <f>buu_wk!E22</f>
        <v>99.712308289999996</v>
      </c>
      <c r="H11" s="8">
        <f t="shared" si="1"/>
        <v>0.61955994062395037</v>
      </c>
      <c r="I11" s="27"/>
      <c r="J11" s="65">
        <f>buu_wk!F22</f>
        <v>61.220893629999999</v>
      </c>
      <c r="K11" s="8">
        <f t="shared" si="2"/>
        <v>0.33320299424710853</v>
      </c>
      <c r="L11" s="65">
        <f>buu_wk!G22</f>
        <v>61.228226679999999</v>
      </c>
      <c r="M11" s="8">
        <f t="shared" si="3"/>
        <v>0.38044005937604969</v>
      </c>
      <c r="N11" s="27"/>
      <c r="O11" s="65">
        <f>E11+J11</f>
        <v>183.73452426</v>
      </c>
      <c r="P11" s="65">
        <f>G11+L11</f>
        <v>160.94053496999999</v>
      </c>
      <c r="Q11" s="8">
        <f t="shared" si="4"/>
        <v>0.87594063020107982</v>
      </c>
    </row>
    <row r="12" spans="1:18">
      <c r="C12" s="3" t="s">
        <v>71</v>
      </c>
      <c r="D12" s="15"/>
      <c r="E12" s="8">
        <f>E11/E5-1</f>
        <v>-1.5403688224792655E-2</v>
      </c>
      <c r="F12" s="8"/>
      <c r="G12" s="8">
        <f>G11/G5-1</f>
        <v>-9.9975459477742779E-2</v>
      </c>
      <c r="H12" s="8"/>
      <c r="I12" s="16"/>
      <c r="J12" s="8">
        <f>J11/J5-1</f>
        <v>0.34475629190291257</v>
      </c>
      <c r="K12" s="8"/>
      <c r="L12" s="8">
        <f>L11/L5-1</f>
        <v>0.34489956796148746</v>
      </c>
      <c r="M12" s="8"/>
      <c r="N12" s="16"/>
      <c r="O12" s="8">
        <f>O11/O5-1</f>
        <v>8.1071389734119093E-2</v>
      </c>
      <c r="P12" s="8">
        <f>P11/P5-1</f>
        <v>2.9593239089393597E-2</v>
      </c>
      <c r="Q12" s="8"/>
    </row>
    <row r="13" spans="1:18">
      <c r="B13" s="3" t="str">
        <f>buu_wk!C23</f>
        <v>Q2</v>
      </c>
      <c r="C13" s="3" t="s">
        <v>69</v>
      </c>
      <c r="D13" s="15"/>
      <c r="E13" s="65">
        <f>buu_wk!D23</f>
        <v>126.90562831</v>
      </c>
      <c r="F13" s="8">
        <f>E13/O13</f>
        <v>0.67266447351797498</v>
      </c>
      <c r="G13" s="65">
        <f>buu_wk!E23</f>
        <v>105.91791248</v>
      </c>
      <c r="H13" s="8">
        <f>G13/P13</f>
        <v>0.63164453631868789</v>
      </c>
      <c r="I13" s="27"/>
      <c r="J13" s="65">
        <f>buu_wk!F23</f>
        <v>61.755484780000003</v>
      </c>
      <c r="K13" s="8">
        <f>J13/O13</f>
        <v>0.32733552648202496</v>
      </c>
      <c r="L13" s="65">
        <f>buu_wk!G23</f>
        <v>61.768034900000004</v>
      </c>
      <c r="M13" s="8">
        <f>L13/P13</f>
        <v>0.36835546368131206</v>
      </c>
      <c r="N13" s="27"/>
      <c r="O13" s="65">
        <f>E13+J13</f>
        <v>188.66111309000001</v>
      </c>
      <c r="P13" s="65">
        <f>G13+L13</f>
        <v>167.68594738000002</v>
      </c>
      <c r="Q13" s="8">
        <f>P13/O13</f>
        <v>0.88882093735981571</v>
      </c>
    </row>
    <row r="14" spans="1:18">
      <c r="C14" s="3" t="s">
        <v>71</v>
      </c>
      <c r="D14" s="15"/>
      <c r="E14" s="8">
        <f>E13/E6-1</f>
        <v>-2.7269898575152052E-2</v>
      </c>
      <c r="F14" s="8"/>
      <c r="G14" s="8">
        <f>G13/G6-1</f>
        <v>-7.4265517028169303E-2</v>
      </c>
      <c r="H14" s="8"/>
      <c r="I14" s="16"/>
      <c r="J14" s="8">
        <f>J13/J6-1</f>
        <v>0.33134104519204177</v>
      </c>
      <c r="K14" s="8"/>
      <c r="L14" s="8">
        <f>L13/L6-1</f>
        <v>0.33153843786514026</v>
      </c>
      <c r="M14" s="8"/>
      <c r="N14" s="16"/>
      <c r="O14" s="8">
        <f>O13/O6-1</f>
        <v>6.6790425187518432E-2</v>
      </c>
      <c r="P14" s="8">
        <f>P13/P6-1</f>
        <v>4.2800521756586107E-2</v>
      </c>
      <c r="Q14" s="8"/>
    </row>
    <row r="15" spans="1:18">
      <c r="B15" s="3" t="str">
        <f>buu_wk!C24</f>
        <v>Q3</v>
      </c>
      <c r="C15" s="9" t="s">
        <v>69</v>
      </c>
      <c r="D15" s="15"/>
      <c r="E15" s="68">
        <f>buu_wk!D24</f>
        <v>124.36834688</v>
      </c>
      <c r="F15" s="16">
        <f>E15/O15</f>
        <v>0.6706039271296419</v>
      </c>
      <c r="G15" s="68">
        <f>buu_wk!E24</f>
        <v>106.90292527</v>
      </c>
      <c r="H15" s="16">
        <f>G15/P15</f>
        <v>0.63630421041245167</v>
      </c>
      <c r="I15" s="27"/>
      <c r="J15" s="68">
        <f>buu_wk!F24</f>
        <v>61.08888331</v>
      </c>
      <c r="K15" s="16">
        <f>J15/O15</f>
        <v>0.32939607287035799</v>
      </c>
      <c r="L15" s="68">
        <f>buu_wk!G24</f>
        <v>61.103074880000001</v>
      </c>
      <c r="M15" s="16">
        <f>L15/P15</f>
        <v>0.36369578958754822</v>
      </c>
      <c r="N15" s="27"/>
      <c r="O15" s="68">
        <f>E15+J15</f>
        <v>185.45723019000002</v>
      </c>
      <c r="P15" s="68">
        <f>G15+L15</f>
        <v>168.00600015000001</v>
      </c>
      <c r="Q15" s="16">
        <f>P15/O15</f>
        <v>0.90590159239345203</v>
      </c>
    </row>
    <row r="16" spans="1:18">
      <c r="B16" s="9"/>
      <c r="C16" s="9" t="s">
        <v>71</v>
      </c>
      <c r="D16" s="15"/>
      <c r="E16" s="16">
        <f>E15/E7-1</f>
        <v>-8.7214086137345048E-2</v>
      </c>
      <c r="F16" s="16"/>
      <c r="G16" s="16">
        <f>G15/G7-1</f>
        <v>-8.0599122170258553E-2</v>
      </c>
      <c r="H16" s="16"/>
      <c r="I16" s="16"/>
      <c r="J16" s="16">
        <f>J15/J7-1</f>
        <v>0.27779706542668392</v>
      </c>
      <c r="K16" s="16"/>
      <c r="L16" s="16">
        <f>L15/L7-1</f>
        <v>0.2778288904060302</v>
      </c>
      <c r="M16" s="16"/>
      <c r="N16" s="16"/>
      <c r="O16" s="16">
        <f>O15/O7-1</f>
        <v>7.5946883920199326E-3</v>
      </c>
      <c r="P16" s="16">
        <f>P15/P7-1</f>
        <v>2.3849746887292689E-2</v>
      </c>
      <c r="Q16" s="16"/>
    </row>
    <row r="17" spans="1:17" ht="16.149999999999999" customHeight="1">
      <c r="B17" s="3" t="str">
        <f>buu_wk!C25</f>
        <v>Q4</v>
      </c>
      <c r="C17" s="3" t="s">
        <v>69</v>
      </c>
      <c r="D17" s="15"/>
      <c r="E17" s="68">
        <f>buu_wk!D25</f>
        <v>126.25849362</v>
      </c>
      <c r="F17" s="8">
        <f>E17/O17</f>
        <v>0.67073258711067052</v>
      </c>
      <c r="G17" s="65">
        <f>buu_wk!E25</f>
        <v>108.39924492999999</v>
      </c>
      <c r="H17" s="8">
        <f>G17/P17</f>
        <v>0.63616655814043443</v>
      </c>
      <c r="I17" s="27"/>
      <c r="J17" s="68">
        <f>buu_wk!F25</f>
        <v>61.981195409999998</v>
      </c>
      <c r="K17" s="8">
        <f>J17/O17</f>
        <v>0.32926741288932948</v>
      </c>
      <c r="L17" s="65">
        <f>buu_wk!G25</f>
        <v>61.995195870000003</v>
      </c>
      <c r="M17" s="8">
        <f>L17/P17</f>
        <v>0.36383344185956568</v>
      </c>
      <c r="N17" s="27"/>
      <c r="O17" s="65">
        <f>E17+J17</f>
        <v>188.23968902999999</v>
      </c>
      <c r="P17" s="65">
        <f>G17+L17</f>
        <v>170.39444079999998</v>
      </c>
      <c r="Q17" s="8">
        <f>P17/O17</f>
        <v>0.90519933218145088</v>
      </c>
    </row>
    <row r="18" spans="1:17" ht="16.149999999999999" customHeight="1">
      <c r="B18" s="4"/>
      <c r="C18" s="4" t="s">
        <v>71</v>
      </c>
      <c r="D18" s="15"/>
      <c r="E18" s="13">
        <f>E17/E8-1</f>
        <v>-9.3418439193703962E-2</v>
      </c>
      <c r="F18" s="13"/>
      <c r="G18" s="13">
        <f>G17/G8-1</f>
        <v>-7.8913306694378571E-2</v>
      </c>
      <c r="H18" s="13"/>
      <c r="I18" s="27"/>
      <c r="J18" s="13">
        <f>J17/J8-1</f>
        <v>0.24901901146819383</v>
      </c>
      <c r="K18" s="13"/>
      <c r="L18" s="13">
        <f>L17/L8-1</f>
        <v>0.24905205081232462</v>
      </c>
      <c r="M18" s="13"/>
      <c r="N18" s="27"/>
      <c r="O18" s="13">
        <f>O17/O8-1</f>
        <v>-3.456862024320162E-3</v>
      </c>
      <c r="P18" s="13">
        <f>P17/P8-1</f>
        <v>1.8374290438922136E-2</v>
      </c>
      <c r="Q18" s="13"/>
    </row>
    <row r="19" spans="1:17">
      <c r="B19" s="3" t="s">
        <v>70</v>
      </c>
      <c r="C19" s="3" t="s">
        <v>69</v>
      </c>
      <c r="D19" s="15"/>
      <c r="E19" s="65">
        <f>E15+E13+E11+E17</f>
        <v>500.04609943999992</v>
      </c>
      <c r="F19" s="8">
        <f>E19/O19</f>
        <v>0.67021992785835349</v>
      </c>
      <c r="G19" s="65">
        <f>G15+G13+G11+G17</f>
        <v>420.93239097000003</v>
      </c>
      <c r="H19" s="8">
        <f>G19/P19</f>
        <v>0.63105757244026983</v>
      </c>
      <c r="I19" s="27"/>
      <c r="J19" s="65">
        <f>J15+J13+J11+J17</f>
        <v>246.04645712999999</v>
      </c>
      <c r="K19" s="8">
        <f>J19/O19</f>
        <v>0.3297800721416464</v>
      </c>
      <c r="L19" s="65">
        <f>L15+L13+L11+L17</f>
        <v>246.09453233000002</v>
      </c>
      <c r="M19" s="8">
        <f>L19/P19</f>
        <v>0.36894242755973033</v>
      </c>
      <c r="N19" s="27"/>
      <c r="O19" s="65">
        <f>O15+O13+O11+O17</f>
        <v>746.09255657000006</v>
      </c>
      <c r="P19" s="65">
        <f>P15+P13+P11+P17</f>
        <v>667.02692329999991</v>
      </c>
      <c r="Q19" s="8">
        <f>P19/O19</f>
        <v>0.89402704453521509</v>
      </c>
    </row>
    <row r="20" spans="1:17">
      <c r="A20" s="4"/>
      <c r="B20" s="4"/>
      <c r="C20" s="4" t="s">
        <v>71</v>
      </c>
      <c r="D20" s="15"/>
      <c r="E20" s="13">
        <f>E19/E9-1</f>
        <v>-5.7252880445917143E-2</v>
      </c>
      <c r="F20" s="13"/>
      <c r="G20" s="13">
        <f>G19/G9-1</f>
        <v>-8.3264001470122695E-2</v>
      </c>
      <c r="H20" s="13"/>
      <c r="I20" s="16"/>
      <c r="J20" s="13">
        <f>J19/J9-1</f>
        <v>0.29947180390939021</v>
      </c>
      <c r="K20" s="13"/>
      <c r="L20" s="13">
        <f>L19/L9-1</f>
        <v>0.29956810159454217</v>
      </c>
      <c r="M20" s="13"/>
      <c r="N20" s="16"/>
      <c r="O20" s="13">
        <f>O19/O9-1</f>
        <v>3.6589143642229427E-2</v>
      </c>
      <c r="P20" s="13">
        <f>P19/P9-1</f>
        <v>2.8520287819724377E-2</v>
      </c>
      <c r="Q20" s="13"/>
    </row>
    <row r="21" spans="1:17">
      <c r="A21" s="92">
        <f>buu_wk!B54</f>
        <v>2006</v>
      </c>
      <c r="B21" s="92"/>
      <c r="C21" s="92"/>
      <c r="D21" s="15"/>
      <c r="E21" s="27"/>
      <c r="F21" s="16"/>
      <c r="G21" s="27"/>
      <c r="H21" s="16"/>
      <c r="I21" s="27"/>
      <c r="J21" s="27"/>
      <c r="K21" s="16"/>
      <c r="L21" s="27"/>
      <c r="M21" s="16"/>
      <c r="N21" s="27"/>
      <c r="O21" s="27"/>
      <c r="P21" s="27"/>
      <c r="Q21" s="16"/>
    </row>
    <row r="22" spans="1:17">
      <c r="A22" s="15"/>
      <c r="B22" s="9" t="str">
        <f>buu_wk!C54</f>
        <v>Q1</v>
      </c>
      <c r="C22" s="9" t="s">
        <v>69</v>
      </c>
      <c r="D22" s="15"/>
      <c r="E22" s="68">
        <f>buu_wk!D54</f>
        <v>120.56409342000001</v>
      </c>
      <c r="F22" s="16">
        <f>E22/O22</f>
        <v>0.67431746725883046</v>
      </c>
      <c r="G22" s="68">
        <f>buu_wk!E54</f>
        <v>109.92657440000001</v>
      </c>
      <c r="H22" s="16">
        <f>G22/P22</f>
        <v>0.65362248415609314</v>
      </c>
      <c r="I22" s="27"/>
      <c r="J22" s="68">
        <f>buu_wk!F54</f>
        <v>58.230167850000001</v>
      </c>
      <c r="K22" s="16">
        <f>J22/O22</f>
        <v>0.32568253274116959</v>
      </c>
      <c r="L22" s="68">
        <f>buu_wk!G54</f>
        <v>58.253953449999997</v>
      </c>
      <c r="M22" s="16">
        <f>L22/P22</f>
        <v>0.34637751584390686</v>
      </c>
      <c r="N22" s="27"/>
      <c r="O22" s="68">
        <f>E22+J22</f>
        <v>178.79426126999999</v>
      </c>
      <c r="P22" s="68">
        <f>G22+L22</f>
        <v>168.18052785</v>
      </c>
      <c r="Q22" s="16">
        <f>P22/O22</f>
        <v>0.94063716953436205</v>
      </c>
    </row>
    <row r="23" spans="1:17">
      <c r="A23" s="9"/>
      <c r="B23" s="9"/>
      <c r="C23" s="9" t="s">
        <v>71</v>
      </c>
      <c r="D23" s="15"/>
      <c r="E23" s="16">
        <f>E22/E11-1</f>
        <v>-1.591281884289053E-2</v>
      </c>
      <c r="F23" s="16"/>
      <c r="G23" s="16">
        <f>G22/G11-1</f>
        <v>0.10243736490677935</v>
      </c>
      <c r="H23" s="16"/>
      <c r="I23" s="16"/>
      <c r="J23" s="16">
        <f>J22/J11-1</f>
        <v>-4.8851390475856404E-2</v>
      </c>
      <c r="K23" s="16"/>
      <c r="L23" s="16">
        <f>L22/L11-1</f>
        <v>-4.8576831165543788E-2</v>
      </c>
      <c r="M23" s="16"/>
      <c r="N23" s="16"/>
      <c r="O23" s="16">
        <f>O22/O11-1</f>
        <v>-2.6888049537217684E-2</v>
      </c>
      <c r="P23" s="16">
        <f>P22/P11-1</f>
        <v>4.4985515186398484E-2</v>
      </c>
      <c r="Q23" s="16"/>
    </row>
    <row r="24" spans="1:17">
      <c r="A24" s="9"/>
      <c r="B24" s="9" t="str">
        <f>buu_wk!C60</f>
        <v>Q2</v>
      </c>
      <c r="C24" s="9" t="s">
        <v>69</v>
      </c>
      <c r="D24" s="15"/>
      <c r="E24" s="68">
        <f>buu_wk!D60</f>
        <v>123.76913168999999</v>
      </c>
      <c r="F24" s="16">
        <f>E24/O24</f>
        <v>0.67518525203052759</v>
      </c>
      <c r="G24" s="68">
        <f>buu_wk!E60</f>
        <v>115.65377383000001</v>
      </c>
      <c r="H24" s="16">
        <f>G24/P24</f>
        <v>0.66016459774645797</v>
      </c>
      <c r="I24" s="27"/>
      <c r="J24" s="68">
        <f>buu_wk!F60</f>
        <v>59.542235550000001</v>
      </c>
      <c r="K24" s="16">
        <f>J24/O24</f>
        <v>0.32481474796947246</v>
      </c>
      <c r="L24" s="68">
        <f>buu_wk!G60</f>
        <v>59.535526269999998</v>
      </c>
      <c r="M24" s="16">
        <f>L24/P24</f>
        <v>0.33983540225354208</v>
      </c>
      <c r="N24" s="27"/>
      <c r="O24" s="68">
        <f>E24+J24</f>
        <v>183.31136723999998</v>
      </c>
      <c r="P24" s="68">
        <f>G24+L24</f>
        <v>175.1893001</v>
      </c>
      <c r="Q24" s="16">
        <f>P24/O24</f>
        <v>0.95569250689529694</v>
      </c>
    </row>
    <row r="25" spans="1:17">
      <c r="A25" s="9"/>
      <c r="B25" s="9"/>
      <c r="C25" s="9" t="s">
        <v>71</v>
      </c>
      <c r="D25" s="15"/>
      <c r="E25" s="16">
        <f>E24/E13-1</f>
        <v>-2.4715189245494207E-2</v>
      </c>
      <c r="F25" s="16"/>
      <c r="G25" s="16">
        <f>G24/G13-1</f>
        <v>9.1918931576737695E-2</v>
      </c>
      <c r="H25" s="16"/>
      <c r="I25" s="16"/>
      <c r="J25" s="16">
        <f>J24/J13-1</f>
        <v>-3.5838909497424631E-2</v>
      </c>
      <c r="K25" s="16"/>
      <c r="L25" s="16">
        <f>L24/L13-1</f>
        <v>-3.614342974670226E-2</v>
      </c>
      <c r="M25" s="16"/>
      <c r="N25" s="16"/>
      <c r="O25" s="16">
        <f>O24/O13-1</f>
        <v>-2.8356378070598764E-2</v>
      </c>
      <c r="P25" s="16">
        <f>P24/P13-1</f>
        <v>4.4746461091317968E-2</v>
      </c>
      <c r="Q25" s="16"/>
    </row>
    <row r="26" spans="1:17">
      <c r="A26" s="9"/>
      <c r="B26" s="9" t="str">
        <f>buu_wk!C67</f>
        <v>Q3</v>
      </c>
      <c r="C26" s="9" t="s">
        <v>69</v>
      </c>
      <c r="D26" s="15"/>
      <c r="E26" s="68">
        <f>buu_wk!D67</f>
        <v>123.03282573</v>
      </c>
      <c r="F26" s="16">
        <f>E26/O26</f>
        <v>0.67355968426917756</v>
      </c>
      <c r="G26" s="68">
        <f>buu_wk!E67</f>
        <v>114.36084649999999</v>
      </c>
      <c r="H26" s="16">
        <f>G26/P26</f>
        <v>0.65739590439755391</v>
      </c>
      <c r="I26" s="27"/>
      <c r="J26" s="68">
        <f>buu_wk!F67</f>
        <v>59.627788619999997</v>
      </c>
      <c r="K26" s="16">
        <f>J26/O26</f>
        <v>0.32644031573082244</v>
      </c>
      <c r="L26" s="68">
        <f>buu_wk!G67</f>
        <v>59.599541350000003</v>
      </c>
      <c r="M26" s="16">
        <f>L26/P26</f>
        <v>0.34260409560244615</v>
      </c>
      <c r="N26" s="27"/>
      <c r="O26" s="68">
        <f>E26+J26</f>
        <v>182.66061435</v>
      </c>
      <c r="P26" s="68">
        <f>G26+L26</f>
        <v>173.96038784999999</v>
      </c>
      <c r="Q26" s="16">
        <f>P26/O26</f>
        <v>0.95236944466129236</v>
      </c>
    </row>
    <row r="27" spans="1:17">
      <c r="A27" s="9"/>
      <c r="B27" s="9"/>
      <c r="C27" s="9" t="s">
        <v>71</v>
      </c>
      <c r="D27" s="15"/>
      <c r="E27" s="16">
        <f>E26/E15-1</f>
        <v>-1.0738432917248741E-2</v>
      </c>
      <c r="F27" s="16"/>
      <c r="G27" s="16">
        <f>G26/G15-1</f>
        <v>6.9763490673092843E-2</v>
      </c>
      <c r="H27" s="16"/>
      <c r="I27" s="16"/>
      <c r="J27" s="16">
        <f>J26/J15-1</f>
        <v>-2.3917521664057473E-2</v>
      </c>
      <c r="K27" s="16"/>
      <c r="L27" s="16">
        <f>L26/L15-1</f>
        <v>-2.4606511750067894E-2</v>
      </c>
      <c r="M27" s="16"/>
      <c r="N27" s="16"/>
      <c r="O27" s="16">
        <f>O26/O15-1</f>
        <v>-1.5079572994457502E-2</v>
      </c>
      <c r="P27" s="16">
        <f>P26/P15-1</f>
        <v>3.5441518128422445E-2</v>
      </c>
      <c r="Q27" s="16"/>
    </row>
    <row r="28" spans="1:17" ht="16.149999999999999" customHeight="1">
      <c r="B28" s="3" t="str">
        <f>buu_wk!C74</f>
        <v>Q4</v>
      </c>
      <c r="C28" s="3" t="s">
        <v>69</v>
      </c>
      <c r="D28" s="15"/>
      <c r="E28" s="68">
        <f>buu_wk!D74</f>
        <v>126.10079482</v>
      </c>
      <c r="F28" s="8">
        <f>E28/O28</f>
        <v>0.67676660731468985</v>
      </c>
      <c r="G28" s="68">
        <f>buu_wk!E74</f>
        <v>119.35985847000001</v>
      </c>
      <c r="H28" s="8">
        <f>G28/P28</f>
        <v>0.66471582948339436</v>
      </c>
      <c r="I28" s="27"/>
      <c r="J28" s="68">
        <f>buu_wk!F74</f>
        <v>60.227539729999997</v>
      </c>
      <c r="K28" s="8">
        <f>J28/O28</f>
        <v>0.32323339268531021</v>
      </c>
      <c r="L28" s="68">
        <f>buu_wk!G74</f>
        <v>60.205383060000003</v>
      </c>
      <c r="M28" s="8">
        <f>L28/P28</f>
        <v>0.33528417051660564</v>
      </c>
      <c r="N28" s="27"/>
      <c r="O28" s="68">
        <f>E28+J28</f>
        <v>186.32833454999999</v>
      </c>
      <c r="P28" s="68">
        <f>G28+L28</f>
        <v>179.56524153000001</v>
      </c>
      <c r="Q28" s="8">
        <f>P28/O28</f>
        <v>0.96370335710704724</v>
      </c>
    </row>
    <row r="29" spans="1:17" ht="16.149999999999999" customHeight="1">
      <c r="B29" s="4"/>
      <c r="C29" s="4" t="s">
        <v>71</v>
      </c>
      <c r="D29" s="15"/>
      <c r="E29" s="13">
        <f>E28/E17-1</f>
        <v>-1.2490153769346701E-3</v>
      </c>
      <c r="F29" s="13"/>
      <c r="G29" s="13">
        <f>G28/G17-1</f>
        <v>0.1011133753475677</v>
      </c>
      <c r="H29" s="13"/>
      <c r="I29" s="27"/>
      <c r="J29" s="13">
        <f>J28/J17-1</f>
        <v>-2.829335040087122E-2</v>
      </c>
      <c r="K29" s="13"/>
      <c r="L29" s="13">
        <f>L28/L17-1</f>
        <v>-2.8870185582655861E-2</v>
      </c>
      <c r="M29" s="13"/>
      <c r="N29" s="27"/>
      <c r="O29" s="13">
        <f>O28/O17-1</f>
        <v>-1.0153833603578577E-2</v>
      </c>
      <c r="P29" s="13">
        <f>P28/P17-1</f>
        <v>5.3821008989161978E-2</v>
      </c>
      <c r="Q29" s="13"/>
    </row>
    <row r="30" spans="1:17">
      <c r="B30" s="3" t="s">
        <v>70</v>
      </c>
      <c r="C30" s="3" t="s">
        <v>69</v>
      </c>
      <c r="D30" s="15"/>
      <c r="E30" s="68">
        <f>E26+E24+E22+E28</f>
        <v>493.46684565999999</v>
      </c>
      <c r="F30" s="8">
        <f>E30/O30</f>
        <v>0.67496991621545344</v>
      </c>
      <c r="G30" s="68">
        <f>G26+G24+G22+G28</f>
        <v>459.30105320000001</v>
      </c>
      <c r="H30" s="8">
        <f>G30/P30</f>
        <v>0.6590673656558329</v>
      </c>
      <c r="I30" s="27"/>
      <c r="J30" s="68">
        <f>J26+J24+J22+J28</f>
        <v>237.62773175000001</v>
      </c>
      <c r="K30" s="8">
        <f>J30/O30</f>
        <v>0.32503008378454668</v>
      </c>
      <c r="L30" s="68">
        <f>L26+L24+L22+L28</f>
        <v>237.59440413000002</v>
      </c>
      <c r="M30" s="8">
        <f>L30/P30</f>
        <v>0.34093263434416715</v>
      </c>
      <c r="N30" s="27"/>
      <c r="O30" s="68">
        <f>O26+O24+O22+O28</f>
        <v>731.09457740999994</v>
      </c>
      <c r="P30" s="68">
        <f>P26+P24+P22+P28</f>
        <v>696.89545733</v>
      </c>
      <c r="Q30" s="8">
        <f>P30/O30</f>
        <v>0.95322203017678653</v>
      </c>
    </row>
    <row r="31" spans="1:17">
      <c r="A31" s="4"/>
      <c r="B31" s="4"/>
      <c r="C31" s="4" t="s">
        <v>71</v>
      </c>
      <c r="D31" s="15"/>
      <c r="E31" s="13">
        <f>E30/E19-1</f>
        <v>-1.3157294472185721E-2</v>
      </c>
      <c r="F31" s="13"/>
      <c r="G31" s="13">
        <f>G30/G19-1</f>
        <v>9.1151603091372824E-2</v>
      </c>
      <c r="H31" s="13"/>
      <c r="I31" s="16"/>
      <c r="J31" s="13">
        <f>J30/J19-1</f>
        <v>-3.4215999198687563E-2</v>
      </c>
      <c r="K31" s="13"/>
      <c r="L31" s="13">
        <f>L30/L19-1</f>
        <v>-3.4540093676692418E-2</v>
      </c>
      <c r="M31" s="13"/>
      <c r="N31" s="16"/>
      <c r="O31" s="13">
        <f>O30/O19-1</f>
        <v>-2.0102035636101356E-2</v>
      </c>
      <c r="P31" s="13">
        <f>P30/P19-1</f>
        <v>4.4778603361661506E-2</v>
      </c>
      <c r="Q31" s="13"/>
    </row>
    <row r="32" spans="1:17">
      <c r="A32" s="34" t="str">
        <f>說明!B18</f>
        <v>1.</v>
      </c>
      <c r="B32" s="34" t="str">
        <f>說明!C18</f>
        <v>資料來源：總額各案件核定醫療費用分攤明細(PHFB_DECIDE_DIST)</v>
      </c>
      <c r="C32" s="9"/>
      <c r="D32" s="15"/>
      <c r="E32" s="16"/>
      <c r="F32" s="16"/>
      <c r="G32" s="16"/>
      <c r="H32" s="16"/>
      <c r="I32" s="16"/>
      <c r="J32" s="16"/>
      <c r="K32" s="16"/>
      <c r="L32" s="16"/>
      <c r="M32" s="16"/>
      <c r="N32" s="16"/>
      <c r="O32" s="16"/>
      <c r="P32" s="16"/>
      <c r="Q32" s="16"/>
    </row>
    <row r="33" spans="1:17">
      <c r="A33" s="34" t="str">
        <f>說明!B19</f>
        <v>2.</v>
      </c>
      <c r="B33" s="34" t="str">
        <f>說明!C19</f>
        <v>資料處理：</v>
      </c>
      <c r="C33" s="9"/>
      <c r="D33" s="15"/>
      <c r="E33" s="16"/>
      <c r="F33" s="16"/>
      <c r="G33" s="16"/>
      <c r="H33" s="16"/>
      <c r="I33" s="16"/>
      <c r="J33" s="16"/>
      <c r="K33" s="16"/>
      <c r="L33" s="16"/>
      <c r="M33" s="16"/>
      <c r="N33" s="16"/>
      <c r="O33" s="16"/>
      <c r="P33" s="16"/>
      <c r="Q33" s="16"/>
    </row>
    <row r="34" spans="1:17">
      <c r="A34" s="34"/>
      <c r="B34" s="34" t="str">
        <f>說明!C20</f>
        <v>※本表僅含當季核定之送核、補報資料</v>
      </c>
      <c r="C34" s="9"/>
      <c r="D34" s="15"/>
      <c r="E34" s="16"/>
      <c r="F34" s="16"/>
      <c r="G34" s="16"/>
      <c r="H34" s="16"/>
      <c r="I34" s="16"/>
      <c r="J34" s="16"/>
      <c r="K34" s="16"/>
      <c r="L34" s="16"/>
      <c r="M34" s="16"/>
      <c r="N34" s="16"/>
      <c r="O34" s="16"/>
      <c r="P34" s="16"/>
      <c r="Q34" s="16"/>
    </row>
    <row r="35" spans="1:17">
      <c r="A35" s="34"/>
      <c r="B35" s="34" t="str">
        <f>說明!C21</f>
        <v>※本表不含申複、爭議審議等之核定醫療點數及費用</v>
      </c>
      <c r="C35" s="9"/>
      <c r="D35" s="15"/>
      <c r="E35" s="16"/>
      <c r="F35" s="16"/>
      <c r="G35" s="16"/>
      <c r="H35" s="16"/>
      <c r="I35" s="16"/>
      <c r="J35" s="16"/>
      <c r="K35" s="16"/>
      <c r="L35" s="16"/>
      <c r="M35" s="16"/>
      <c r="N35" s="16"/>
      <c r="O35" s="16"/>
      <c r="P35" s="16"/>
      <c r="Q35" s="16"/>
    </row>
    <row r="36" spans="1:17">
      <c r="A36" s="34"/>
      <c r="B36" s="34" t="str">
        <f>說明!C22</f>
        <v>※本表不含代辦、總額外及追扣、補付付款之項目</v>
      </c>
      <c r="E36" s="7"/>
      <c r="F36" s="8"/>
      <c r="G36" s="7"/>
      <c r="H36" s="8"/>
      <c r="J36" s="7"/>
      <c r="K36" s="8"/>
      <c r="L36" s="7"/>
      <c r="M36" s="8"/>
      <c r="O36" s="7"/>
      <c r="P36" s="7"/>
      <c r="Q36" s="8"/>
    </row>
    <row r="37" spans="1:17">
      <c r="A37" s="34"/>
      <c r="B37" s="34" t="str">
        <f>說明!C23</f>
        <v>※本表所謂浮動點值部分係指各總額別中一般部門預算之浮動點值部份</v>
      </c>
      <c r="E37" s="7"/>
      <c r="F37" s="8"/>
      <c r="G37" s="7"/>
      <c r="H37" s="8"/>
      <c r="J37" s="7"/>
      <c r="K37" s="8"/>
      <c r="L37" s="7"/>
      <c r="M37" s="8"/>
      <c r="O37" s="7"/>
      <c r="P37" s="7"/>
      <c r="Q37" s="8"/>
    </row>
    <row r="38" spans="1:17">
      <c r="A38" s="34"/>
      <c r="B38" s="34" t="str">
        <f>說明!C24</f>
        <v>※本表所謂固定點值部分係指各總額別中一般部門預算之非浮動點值及專款部份</v>
      </c>
      <c r="E38" s="7"/>
      <c r="F38" s="8"/>
      <c r="G38" s="7"/>
      <c r="H38" s="8"/>
      <c r="J38" s="7"/>
      <c r="K38" s="8"/>
      <c r="L38" s="7"/>
      <c r="M38" s="8"/>
      <c r="O38" s="7"/>
      <c r="P38" s="7"/>
      <c r="Q38" s="8"/>
    </row>
    <row r="39" spans="1:17">
      <c r="A39" s="34"/>
      <c r="B39" s="34" t="str">
        <f>說明!C25</f>
        <v>※層級別中不含處方釋出之醫療點數及費用</v>
      </c>
    </row>
    <row r="40" spans="1:17">
      <c r="A40" s="34"/>
      <c r="B40" s="34"/>
    </row>
  </sheetData>
  <mergeCells count="7">
    <mergeCell ref="A21:C21"/>
    <mergeCell ref="A10:C10"/>
    <mergeCell ref="A1:Q1"/>
    <mergeCell ref="A4:C4"/>
    <mergeCell ref="E2:H2"/>
    <mergeCell ref="J2:M2"/>
    <mergeCell ref="O2:Q2"/>
  </mergeCells>
  <phoneticPr fontId="5" type="noConversion"/>
  <hyperlinks>
    <hyperlink ref="A1:Q1" location="目錄!A1" display="全民健康保險醫療服務核定醫療點數及費用統計_總表"/>
  </hyperlinks>
  <printOptions horizontalCentered="1"/>
  <pageMargins left="0.55118110236220474" right="0.55118110236220474" top="0.78740157480314965" bottom="0.78740157480314965" header="0.51181102362204722" footer="0.51181102362204722"/>
  <pageSetup paperSize="9" scale="89" orientation="landscape" r:id="rId1"/>
  <headerFooter alignWithMargins="0"/>
</worksheet>
</file>

<file path=xl/worksheets/sheet17.xml><?xml version="1.0" encoding="utf-8"?>
<worksheet xmlns="http://schemas.openxmlformats.org/spreadsheetml/2006/main" xmlns:r="http://schemas.openxmlformats.org/officeDocument/2006/relationships">
  <sheetPr codeName="Sheet1">
    <pageSetUpPr fitToPage="1"/>
  </sheetPr>
  <dimension ref="A1:R40"/>
  <sheetViews>
    <sheetView showGridLines="0" zoomScale="75" workbookViewId="0">
      <pane ySplit="3" topLeftCell="A4" activePane="bottomLeft" state="frozen"/>
      <selection pane="bottomLeft" activeCell="R3" sqref="R3"/>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375" style="3" bestFit="1" customWidth="1"/>
    <col min="6" max="6" width="11.125" style="3" bestFit="1" customWidth="1"/>
    <col min="7" max="7" width="11.5" style="3" bestFit="1" customWidth="1"/>
    <col min="8" max="8" width="11.125" style="3" bestFit="1" customWidth="1"/>
    <col min="9" max="9" width="1.875" style="3" customWidth="1"/>
    <col min="10" max="10" width="12.375" style="3" bestFit="1" customWidth="1"/>
    <col min="11" max="11" width="11.125" style="3" bestFit="1" customWidth="1"/>
    <col min="12" max="12" width="11.5" style="3" bestFit="1" customWidth="1"/>
    <col min="13" max="13" width="11.125" style="3" bestFit="1" customWidth="1"/>
    <col min="14" max="14" width="2.25" style="3" customWidth="1"/>
    <col min="15" max="15" width="11.125" style="3" customWidth="1"/>
    <col min="16" max="16" width="11.5" style="3" customWidth="1"/>
    <col min="17" max="17" width="11.5" style="3" bestFit="1" customWidth="1"/>
    <col min="18" max="16384" width="8.875" style="2"/>
  </cols>
  <sheetData>
    <row r="1" spans="1:18" ht="40.9" customHeight="1">
      <c r="A1" s="89" t="s">
        <v>210</v>
      </c>
      <c r="B1" s="89"/>
      <c r="C1" s="89"/>
      <c r="D1" s="89"/>
      <c r="E1" s="89"/>
      <c r="F1" s="89"/>
      <c r="G1" s="89"/>
      <c r="H1" s="89"/>
      <c r="I1" s="89"/>
      <c r="J1" s="89"/>
      <c r="K1" s="89"/>
      <c r="L1" s="89"/>
      <c r="M1" s="89"/>
      <c r="N1" s="89"/>
      <c r="O1" s="89"/>
      <c r="P1" s="89"/>
      <c r="Q1" s="89"/>
    </row>
    <row r="2" spans="1:18" s="3" customFormat="1">
      <c r="E2" s="90" t="s">
        <v>72</v>
      </c>
      <c r="F2" s="90"/>
      <c r="G2" s="90"/>
      <c r="H2" s="90"/>
      <c r="J2" s="90" t="s">
        <v>73</v>
      </c>
      <c r="K2" s="90"/>
      <c r="L2" s="90"/>
      <c r="M2" s="90"/>
      <c r="O2" s="90" t="s">
        <v>74</v>
      </c>
      <c r="P2" s="90"/>
      <c r="Q2" s="90"/>
    </row>
    <row r="3" spans="1:18" s="3" customFormat="1" ht="33">
      <c r="A3" s="4" t="s">
        <v>75</v>
      </c>
      <c r="B3" s="4" t="s">
        <v>76</v>
      </c>
      <c r="C3" s="4" t="s">
        <v>77</v>
      </c>
      <c r="E3" s="5" t="s">
        <v>218</v>
      </c>
      <c r="F3" s="6" t="s">
        <v>78</v>
      </c>
      <c r="G3" s="35" t="s">
        <v>219</v>
      </c>
      <c r="H3" s="6" t="s">
        <v>78</v>
      </c>
      <c r="J3" s="5" t="s">
        <v>218</v>
      </c>
      <c r="K3" s="6" t="s">
        <v>78</v>
      </c>
      <c r="L3" s="35" t="s">
        <v>219</v>
      </c>
      <c r="M3" s="6" t="s">
        <v>78</v>
      </c>
      <c r="O3" s="5" t="s">
        <v>220</v>
      </c>
      <c r="P3" s="35" t="s">
        <v>221</v>
      </c>
      <c r="Q3" s="35" t="s">
        <v>216</v>
      </c>
      <c r="R3" s="84"/>
    </row>
    <row r="4" spans="1:18">
      <c r="A4" s="88">
        <f>buu_wk!B10</f>
        <v>2004</v>
      </c>
      <c r="B4" s="88"/>
      <c r="C4" s="88"/>
      <c r="D4" s="9"/>
      <c r="E4" s="10"/>
      <c r="F4" s="9"/>
      <c r="G4" s="9"/>
      <c r="H4" s="9"/>
      <c r="I4" s="9"/>
      <c r="J4" s="10"/>
      <c r="K4" s="9"/>
      <c r="L4" s="9"/>
      <c r="M4" s="9"/>
      <c r="N4" s="9"/>
      <c r="O4" s="10"/>
      <c r="P4" s="9"/>
      <c r="Q4" s="9"/>
    </row>
    <row r="5" spans="1:18">
      <c r="A5" s="2"/>
      <c r="B5" s="3" t="str">
        <f>buu_wk!C10</f>
        <v>Q1</v>
      </c>
      <c r="C5" s="3" t="s">
        <v>79</v>
      </c>
      <c r="D5" s="15"/>
      <c r="E5" s="65">
        <f>buu_wk!D10</f>
        <v>19.5239346</v>
      </c>
      <c r="F5" s="8">
        <f>E5/O5</f>
        <v>0.70848276491711737</v>
      </c>
      <c r="G5" s="65">
        <f>buu_wk!E10</f>
        <v>17.26726275</v>
      </c>
      <c r="H5" s="8">
        <f>G5/P5</f>
        <v>0.68247918686353248</v>
      </c>
      <c r="I5" s="16"/>
      <c r="J5" s="65">
        <f>buu_wk!F10</f>
        <v>8.0334536199999995</v>
      </c>
      <c r="K5" s="8">
        <f>J5/O5</f>
        <v>0.29151723508288258</v>
      </c>
      <c r="L5" s="65">
        <f>buu_wk!G10</f>
        <v>8.0335274900000009</v>
      </c>
      <c r="M5" s="8">
        <f>L5/P5</f>
        <v>0.31752081313646752</v>
      </c>
      <c r="N5" s="16"/>
      <c r="O5" s="65">
        <f>E5+J5</f>
        <v>27.55738822</v>
      </c>
      <c r="P5" s="65">
        <f>G5+L5</f>
        <v>25.300790240000001</v>
      </c>
      <c r="Q5" s="8">
        <f>P5/O5</f>
        <v>0.91811277752503939</v>
      </c>
    </row>
    <row r="6" spans="1:18">
      <c r="B6" s="3" t="str">
        <f>buu_wk!C11</f>
        <v>Q2</v>
      </c>
      <c r="C6" s="3" t="s">
        <v>79</v>
      </c>
      <c r="D6" s="15"/>
      <c r="E6" s="65">
        <f>buu_wk!D11</f>
        <v>20.646469679999999</v>
      </c>
      <c r="F6" s="8">
        <f>E6/O6</f>
        <v>0.71041893695224023</v>
      </c>
      <c r="G6" s="65">
        <f>buu_wk!E11</f>
        <v>18.41678782</v>
      </c>
      <c r="H6" s="8">
        <f>G6/P6</f>
        <v>0.68627538372247188</v>
      </c>
      <c r="I6" s="27"/>
      <c r="J6" s="65">
        <f>buu_wk!F11</f>
        <v>8.41591676</v>
      </c>
      <c r="K6" s="8">
        <f>J6/O6</f>
        <v>0.28958106304775982</v>
      </c>
      <c r="L6" s="65">
        <f>buu_wk!G11</f>
        <v>8.4190688300000005</v>
      </c>
      <c r="M6" s="8">
        <f>L6/P6</f>
        <v>0.31372461627752807</v>
      </c>
      <c r="N6" s="27"/>
      <c r="O6" s="65">
        <f>E6+J6</f>
        <v>29.062386439999997</v>
      </c>
      <c r="P6" s="65">
        <f>G6+L6</f>
        <v>26.83585665</v>
      </c>
      <c r="Q6" s="8">
        <f>P6/O6</f>
        <v>0.92338792292240968</v>
      </c>
    </row>
    <row r="7" spans="1:18">
      <c r="B7" s="3" t="str">
        <f>buu_wk!C12</f>
        <v>Q3</v>
      </c>
      <c r="C7" s="3" t="s">
        <v>79</v>
      </c>
      <c r="D7" s="15"/>
      <c r="E7" s="65">
        <f>buu_wk!D12</f>
        <v>21.499700409999999</v>
      </c>
      <c r="F7" s="8">
        <f>E7/O7</f>
        <v>0.71222908071355306</v>
      </c>
      <c r="G7" s="65">
        <f>buu_wk!E12</f>
        <v>18.646980719999998</v>
      </c>
      <c r="H7" s="8">
        <f>G7/P7</f>
        <v>0.68210689233794819</v>
      </c>
      <c r="I7" s="27"/>
      <c r="J7" s="65">
        <f>buu_wk!F12</f>
        <v>8.6867957499999999</v>
      </c>
      <c r="K7" s="8">
        <f>J7/O7</f>
        <v>0.28777091928644694</v>
      </c>
      <c r="L7" s="65">
        <f>buu_wk!G12</f>
        <v>8.6903485600000003</v>
      </c>
      <c r="M7" s="8">
        <f>L7/P7</f>
        <v>0.31789310766205181</v>
      </c>
      <c r="N7" s="27"/>
      <c r="O7" s="65">
        <f>E7+J7</f>
        <v>30.186496159999997</v>
      </c>
      <c r="P7" s="65">
        <f>G7+L7</f>
        <v>27.337329279999999</v>
      </c>
      <c r="Q7" s="8">
        <f>P7/O7</f>
        <v>0.90561452164244827</v>
      </c>
    </row>
    <row r="8" spans="1:18">
      <c r="B8" s="4" t="str">
        <f>buu_wk!C13</f>
        <v>Q4</v>
      </c>
      <c r="C8" s="4" t="s">
        <v>79</v>
      </c>
      <c r="D8" s="15"/>
      <c r="E8" s="66">
        <f>buu_wk!D13</f>
        <v>22.01131307</v>
      </c>
      <c r="F8" s="13">
        <f>E8/O8</f>
        <v>0.71154484187209677</v>
      </c>
      <c r="G8" s="66">
        <f>buu_wk!E13</f>
        <v>18.76600204</v>
      </c>
      <c r="H8" s="13">
        <f>G8/P8</f>
        <v>0.67769475692891756</v>
      </c>
      <c r="I8" s="27"/>
      <c r="J8" s="66">
        <f>buu_wk!F13</f>
        <v>8.9232279099999996</v>
      </c>
      <c r="K8" s="13">
        <f>J8/O8</f>
        <v>0.28845515812790312</v>
      </c>
      <c r="L8" s="66">
        <f>buu_wk!G13</f>
        <v>8.9249338100000006</v>
      </c>
      <c r="M8" s="13">
        <f>L8/P8</f>
        <v>0.32230524307108238</v>
      </c>
      <c r="N8" s="27"/>
      <c r="O8" s="66">
        <f>E8+J8</f>
        <v>30.934540980000001</v>
      </c>
      <c r="P8" s="66">
        <f>G8+L8</f>
        <v>27.690935850000002</v>
      </c>
      <c r="Q8" s="13">
        <f>P8/O8</f>
        <v>0.89514616906398981</v>
      </c>
    </row>
    <row r="9" spans="1:18">
      <c r="A9" s="4"/>
      <c r="B9" s="4" t="s">
        <v>80</v>
      </c>
      <c r="C9" s="4" t="s">
        <v>79</v>
      </c>
      <c r="D9" s="15"/>
      <c r="E9" s="66">
        <f>SUM(E5:E8)</f>
        <v>83.681417760000002</v>
      </c>
      <c r="F9" s="13">
        <f>E9/O9</f>
        <v>0.71072567345760407</v>
      </c>
      <c r="G9" s="66">
        <f>SUM(G5:G8)</f>
        <v>73.097033330000002</v>
      </c>
      <c r="H9" s="13">
        <f>G9/P9</f>
        <v>0.68209857081166669</v>
      </c>
      <c r="I9" s="27"/>
      <c r="J9" s="66">
        <f>SUM(J5:J8)</f>
        <v>34.059394040000001</v>
      </c>
      <c r="K9" s="13">
        <f>J9/O9</f>
        <v>0.2892743265423961</v>
      </c>
      <c r="L9" s="66">
        <f>SUM(L5:L8)</f>
        <v>34.067878690000001</v>
      </c>
      <c r="M9" s="13">
        <f>L9/P9</f>
        <v>0.31790142918833331</v>
      </c>
      <c r="N9" s="27"/>
      <c r="O9" s="66">
        <f>SUM(O5:O8)</f>
        <v>117.74081179999999</v>
      </c>
      <c r="P9" s="66">
        <f>SUM(P5:P8)</f>
        <v>107.16491202</v>
      </c>
      <c r="Q9" s="13">
        <f>P9/O9</f>
        <v>0.9101764322980489</v>
      </c>
    </row>
    <row r="10" spans="1:18">
      <c r="A10" s="88">
        <f>buu_wk!B14</f>
        <v>2005</v>
      </c>
      <c r="B10" s="88"/>
      <c r="C10" s="88"/>
      <c r="D10" s="15"/>
      <c r="E10" s="7"/>
      <c r="F10" s="8"/>
      <c r="G10" s="7"/>
      <c r="H10" s="8"/>
      <c r="I10" s="27"/>
      <c r="J10" s="7"/>
      <c r="K10" s="8"/>
      <c r="L10" s="7"/>
      <c r="M10" s="8"/>
      <c r="N10" s="27"/>
      <c r="O10" s="7"/>
      <c r="P10" s="7"/>
      <c r="Q10" s="8"/>
    </row>
    <row r="11" spans="1:18">
      <c r="A11" s="2"/>
      <c r="B11" s="3" t="str">
        <f>buu_wk!C14</f>
        <v>Q1</v>
      </c>
      <c r="C11" s="3" t="s">
        <v>79</v>
      </c>
      <c r="D11" s="15"/>
      <c r="E11" s="65">
        <f>buu_wk!D14</f>
        <v>19.30926813</v>
      </c>
      <c r="F11" s="8">
        <f>E11/O11</f>
        <v>0.64286466404525311</v>
      </c>
      <c r="G11" s="65">
        <f>buu_wk!E14</f>
        <v>15.785907549999999</v>
      </c>
      <c r="H11" s="8">
        <f>G11/P11</f>
        <v>0.59529492150332453</v>
      </c>
      <c r="I11" s="27"/>
      <c r="J11" s="65">
        <f>buu_wk!F14</f>
        <v>10.72701977</v>
      </c>
      <c r="K11" s="8">
        <f>J11/O11</f>
        <v>0.35713533595474695</v>
      </c>
      <c r="L11" s="65">
        <f>buu_wk!G14</f>
        <v>10.73188553</v>
      </c>
      <c r="M11" s="8">
        <f>L11/P11</f>
        <v>0.40470507849667559</v>
      </c>
      <c r="N11" s="27"/>
      <c r="O11" s="65">
        <f>E11+J11</f>
        <v>30.036287899999998</v>
      </c>
      <c r="P11" s="65">
        <f>G11+L11</f>
        <v>26.517793079999997</v>
      </c>
      <c r="Q11" s="8">
        <f>P11/O11</f>
        <v>0.88285853326102925</v>
      </c>
    </row>
    <row r="12" spans="1:18">
      <c r="C12" s="3" t="s">
        <v>81</v>
      </c>
      <c r="D12" s="15"/>
      <c r="E12" s="8">
        <f>E11/E5-1</f>
        <v>-1.0995041440058917E-2</v>
      </c>
      <c r="F12" s="8"/>
      <c r="G12" s="8">
        <f>G11/G5-1</f>
        <v>-8.578981054770829E-2</v>
      </c>
      <c r="H12" s="8"/>
      <c r="I12" s="16"/>
      <c r="J12" s="8">
        <f>J11/J5-1</f>
        <v>0.33529367037037816</v>
      </c>
      <c r="K12" s="8"/>
      <c r="L12" s="8">
        <f>L11/L5-1</f>
        <v>0.33588707368697857</v>
      </c>
      <c r="M12" s="8"/>
      <c r="N12" s="16"/>
      <c r="O12" s="8">
        <f>O11/O5-1</f>
        <v>8.9954086367332708E-2</v>
      </c>
      <c r="P12" s="8">
        <f>P11/P5-1</f>
        <v>4.8101376615341529E-2</v>
      </c>
      <c r="Q12" s="8"/>
    </row>
    <row r="13" spans="1:18">
      <c r="B13" s="3" t="str">
        <f>buu_wk!C15</f>
        <v>Q2</v>
      </c>
      <c r="C13" s="3" t="s">
        <v>79</v>
      </c>
      <c r="D13" s="15"/>
      <c r="E13" s="65">
        <f>buu_wk!D15</f>
        <v>20.21113785</v>
      </c>
      <c r="F13" s="8">
        <f>E13/O13</f>
        <v>0.6423949221647729</v>
      </c>
      <c r="G13" s="65">
        <f>buu_wk!E15</f>
        <v>17.080125469999999</v>
      </c>
      <c r="H13" s="8">
        <f>G13/P13</f>
        <v>0.60271096546829173</v>
      </c>
      <c r="I13" s="27"/>
      <c r="J13" s="65">
        <f>buu_wk!F15</f>
        <v>11.251031530000001</v>
      </c>
      <c r="K13" s="8">
        <f>J13/O13</f>
        <v>0.35760507783522716</v>
      </c>
      <c r="L13" s="65">
        <f>buu_wk!G15</f>
        <v>11.25870765</v>
      </c>
      <c r="M13" s="8">
        <f>L13/P13</f>
        <v>0.39728903453170838</v>
      </c>
      <c r="N13" s="27"/>
      <c r="O13" s="65">
        <f>E13+J13</f>
        <v>31.462169379999999</v>
      </c>
      <c r="P13" s="65">
        <f>G13+L13</f>
        <v>28.338833119999997</v>
      </c>
      <c r="Q13" s="8">
        <f>P13/O13</f>
        <v>0.90072724413004213</v>
      </c>
    </row>
    <row r="14" spans="1:18">
      <c r="C14" s="3" t="s">
        <v>81</v>
      </c>
      <c r="D14" s="15"/>
      <c r="E14" s="8">
        <f>E13/E6-1</f>
        <v>-2.1085049247993259E-2</v>
      </c>
      <c r="F14" s="8"/>
      <c r="G14" s="8">
        <f>G13/G6-1</f>
        <v>-7.2578473676524147E-2</v>
      </c>
      <c r="H14" s="8"/>
      <c r="I14" s="16"/>
      <c r="J14" s="8">
        <f>J13/J6-1</f>
        <v>0.33687533406639836</v>
      </c>
      <c r="K14" s="8"/>
      <c r="L14" s="8">
        <f>L13/L6-1</f>
        <v>0.33728656664278622</v>
      </c>
      <c r="M14" s="8"/>
      <c r="N14" s="16"/>
      <c r="O14" s="8">
        <f>O13/O6-1</f>
        <v>8.2573499081171953E-2</v>
      </c>
      <c r="P14" s="8">
        <f>P13/P6-1</f>
        <v>5.6006278823224953E-2</v>
      </c>
      <c r="Q14" s="8"/>
    </row>
    <row r="15" spans="1:18">
      <c r="B15" s="9" t="str">
        <f>buu_wk!C16</f>
        <v>Q3</v>
      </c>
      <c r="C15" s="9" t="s">
        <v>79</v>
      </c>
      <c r="D15" s="15"/>
      <c r="E15" s="68">
        <f>buu_wk!D16</f>
        <v>19.681014130000001</v>
      </c>
      <c r="F15" s="16">
        <f>E15/O15</f>
        <v>0.63889210241874206</v>
      </c>
      <c r="G15" s="68">
        <f>buu_wk!E16</f>
        <v>16.727077749999999</v>
      </c>
      <c r="H15" s="16">
        <f>G15/P15</f>
        <v>0.60043510354277185</v>
      </c>
      <c r="I15" s="27"/>
      <c r="J15" s="68">
        <f>buu_wk!F16</f>
        <v>11.123896520000001</v>
      </c>
      <c r="K15" s="16">
        <f>J15/O15</f>
        <v>0.36110789758125783</v>
      </c>
      <c r="L15" s="68">
        <f>buu_wk!G16</f>
        <v>11.131183119999999</v>
      </c>
      <c r="M15" s="16">
        <f>L15/P15</f>
        <v>0.39956489645722815</v>
      </c>
      <c r="N15" s="27"/>
      <c r="O15" s="68">
        <f>E15+J15</f>
        <v>30.804910650000004</v>
      </c>
      <c r="P15" s="68">
        <f>G15+L15</f>
        <v>27.858260869999999</v>
      </c>
      <c r="Q15" s="16">
        <f>P15/O15</f>
        <v>0.90434480354514502</v>
      </c>
    </row>
    <row r="16" spans="1:18">
      <c r="B16" s="9"/>
      <c r="C16" s="9" t="s">
        <v>81</v>
      </c>
      <c r="D16" s="15"/>
      <c r="E16" s="16">
        <f>E15/E7-1</f>
        <v>-8.4591238264607904E-2</v>
      </c>
      <c r="F16" s="16"/>
      <c r="G16" s="16">
        <f>G15/G7-1</f>
        <v>-0.10296052743492079</v>
      </c>
      <c r="H16" s="16"/>
      <c r="I16" s="16"/>
      <c r="J16" s="16">
        <f>J15/J7-1</f>
        <v>0.28055232793979301</v>
      </c>
      <c r="K16" s="16"/>
      <c r="L16" s="16">
        <f>L15/L7-1</f>
        <v>0.28086727973544012</v>
      </c>
      <c r="M16" s="16"/>
      <c r="N16" s="16"/>
      <c r="O16" s="16">
        <f>O15/O7-1</f>
        <v>2.0486461453564253E-2</v>
      </c>
      <c r="P16" s="16">
        <f>P15/P7-1</f>
        <v>1.9055686993576071E-2</v>
      </c>
      <c r="Q16" s="16"/>
    </row>
    <row r="17" spans="1:17" ht="16.149999999999999" customHeight="1">
      <c r="B17" s="3" t="str">
        <f>buu_wk!C17</f>
        <v>Q4</v>
      </c>
      <c r="C17" s="3" t="s">
        <v>79</v>
      </c>
      <c r="D17" s="15"/>
      <c r="E17" s="68">
        <f>buu_wk!D17</f>
        <v>19.775188870000001</v>
      </c>
      <c r="F17" s="8">
        <f>E17/O17</f>
        <v>0.64577486288307573</v>
      </c>
      <c r="G17" s="65">
        <f>buu_wk!E17</f>
        <v>17.599001350000002</v>
      </c>
      <c r="H17" s="8">
        <f>G17/P17</f>
        <v>0.61842936268823057</v>
      </c>
      <c r="I17" s="27"/>
      <c r="J17" s="68">
        <f>buu_wk!F17</f>
        <v>10.847230809999999</v>
      </c>
      <c r="K17" s="8">
        <f>J17/O17</f>
        <v>0.35422513711692422</v>
      </c>
      <c r="L17" s="65">
        <f>buu_wk!G17</f>
        <v>10.85857588</v>
      </c>
      <c r="M17" s="8">
        <f>L17/P17</f>
        <v>0.38157063731176949</v>
      </c>
      <c r="N17" s="27"/>
      <c r="O17" s="65">
        <f>E17+J17</f>
        <v>30.62241968</v>
      </c>
      <c r="P17" s="65">
        <f>G17+L17</f>
        <v>28.457577230000002</v>
      </c>
      <c r="Q17" s="8">
        <f>P17/O17</f>
        <v>0.92930531053318777</v>
      </c>
    </row>
    <row r="18" spans="1:17" ht="16.149999999999999" customHeight="1">
      <c r="B18" s="4"/>
      <c r="C18" s="4" t="s">
        <v>81</v>
      </c>
      <c r="D18" s="15"/>
      <c r="E18" s="13">
        <f>E17/E8-1</f>
        <v>-0.10158976853805657</v>
      </c>
      <c r="F18" s="13"/>
      <c r="G18" s="13">
        <f>G17/G8-1</f>
        <v>-6.218696382492761E-2</v>
      </c>
      <c r="H18" s="13"/>
      <c r="I18" s="27"/>
      <c r="J18" s="13">
        <f>J17/J8-1</f>
        <v>0.21561736620487149</v>
      </c>
      <c r="K18" s="13"/>
      <c r="L18" s="13">
        <f>L17/L8-1</f>
        <v>0.21665618044510726</v>
      </c>
      <c r="M18" s="13"/>
      <c r="N18" s="27"/>
      <c r="O18" s="13">
        <f>O17/O8-1</f>
        <v>-1.0089734326486188E-2</v>
      </c>
      <c r="P18" s="13">
        <f>P17/P8-1</f>
        <v>2.7685643567730844E-2</v>
      </c>
      <c r="Q18" s="13"/>
    </row>
    <row r="19" spans="1:17">
      <c r="B19" s="3" t="s">
        <v>80</v>
      </c>
      <c r="C19" s="3" t="s">
        <v>79</v>
      </c>
      <c r="D19" s="15"/>
      <c r="E19" s="65">
        <f>E15+E13+E11+E17</f>
        <v>78.976608980000009</v>
      </c>
      <c r="F19" s="8">
        <f>E19/O19</f>
        <v>0.64247389026755575</v>
      </c>
      <c r="G19" s="65">
        <f>G15+G13+G11+G17</f>
        <v>67.19211211999999</v>
      </c>
      <c r="H19" s="8">
        <f>G19/P19</f>
        <v>0.60439527488282896</v>
      </c>
      <c r="I19" s="27"/>
      <c r="J19" s="65">
        <f>J15+J13+J11+J17</f>
        <v>43.949178629999999</v>
      </c>
      <c r="K19" s="8">
        <f>J19/O19</f>
        <v>0.35752610973244425</v>
      </c>
      <c r="L19" s="65">
        <f>L15+L13+L11+L17</f>
        <v>43.980352179999997</v>
      </c>
      <c r="M19" s="8">
        <f>L19/P19</f>
        <v>0.39560472511717093</v>
      </c>
      <c r="N19" s="27"/>
      <c r="O19" s="65">
        <f>O15+O13+O11+O17</f>
        <v>122.92578761000001</v>
      </c>
      <c r="P19" s="65">
        <f>P15+P13+P11+P17</f>
        <v>111.1724643</v>
      </c>
      <c r="Q19" s="8">
        <f>P19/O19</f>
        <v>0.90438683746904969</v>
      </c>
    </row>
    <row r="20" spans="1:17">
      <c r="A20" s="4"/>
      <c r="B20" s="4"/>
      <c r="C20" s="4" t="s">
        <v>81</v>
      </c>
      <c r="D20" s="15"/>
      <c r="E20" s="13">
        <f>E19/E9-1</f>
        <v>-5.6222861728914331E-2</v>
      </c>
      <c r="F20" s="13"/>
      <c r="G20" s="13">
        <f>G19/G9-1</f>
        <v>-8.0781954355684582E-2</v>
      </c>
      <c r="H20" s="13"/>
      <c r="I20" s="16"/>
      <c r="J20" s="13">
        <f>J19/J9-1</f>
        <v>0.29036877691908569</v>
      </c>
      <c r="K20" s="13"/>
      <c r="L20" s="13">
        <f>L19/L9-1</f>
        <v>0.29096245117573516</v>
      </c>
      <c r="M20" s="13"/>
      <c r="N20" s="16"/>
      <c r="O20" s="13">
        <f>O19/O9-1</f>
        <v>4.4037201126211567E-2</v>
      </c>
      <c r="P20" s="13">
        <f>P19/P9-1</f>
        <v>3.7396123455521346E-2</v>
      </c>
      <c r="Q20" s="13"/>
    </row>
    <row r="21" spans="1:17">
      <c r="A21" s="92">
        <f>buu_wk!B55</f>
        <v>2006</v>
      </c>
      <c r="B21" s="92"/>
      <c r="C21" s="92"/>
      <c r="D21" s="15"/>
      <c r="E21" s="27"/>
      <c r="F21" s="16"/>
      <c r="G21" s="27"/>
      <c r="H21" s="16"/>
      <c r="I21" s="27"/>
      <c r="J21" s="27"/>
      <c r="K21" s="16"/>
      <c r="L21" s="27"/>
      <c r="M21" s="16"/>
      <c r="N21" s="27"/>
      <c r="O21" s="27"/>
      <c r="P21" s="27"/>
      <c r="Q21" s="16"/>
    </row>
    <row r="22" spans="1:17">
      <c r="A22" s="15"/>
      <c r="B22" s="9" t="str">
        <f>buu_wk!C55</f>
        <v>Q1</v>
      </c>
      <c r="C22" s="9" t="s">
        <v>79</v>
      </c>
      <c r="D22" s="15"/>
      <c r="E22" s="68">
        <f>buu_wk!D55</f>
        <v>19.38258673</v>
      </c>
      <c r="F22" s="16">
        <f>E22/O22</f>
        <v>0.63716405556739453</v>
      </c>
      <c r="G22" s="68">
        <f>buu_wk!E55</f>
        <v>16.009294950000001</v>
      </c>
      <c r="H22" s="16">
        <f>G22/P22</f>
        <v>0.59150358052201735</v>
      </c>
      <c r="I22" s="27"/>
      <c r="J22" s="68">
        <f>buu_wk!F55</f>
        <v>11.037501410000001</v>
      </c>
      <c r="K22" s="16">
        <f>J22/O22</f>
        <v>0.36283594443260547</v>
      </c>
      <c r="L22" s="68">
        <f>buu_wk!G55</f>
        <v>11.056128620000001</v>
      </c>
      <c r="M22" s="16">
        <f>L22/P22</f>
        <v>0.40849641947798271</v>
      </c>
      <c r="N22" s="27"/>
      <c r="O22" s="68">
        <f>E22+J22</f>
        <v>30.420088140000001</v>
      </c>
      <c r="P22" s="68">
        <f>G22+L22</f>
        <v>27.06542357</v>
      </c>
      <c r="Q22" s="16">
        <f>P22/O22</f>
        <v>0.88972206278426647</v>
      </c>
    </row>
    <row r="23" spans="1:17">
      <c r="A23" s="9"/>
      <c r="B23" s="9"/>
      <c r="C23" s="9" t="s">
        <v>81</v>
      </c>
      <c r="D23" s="15"/>
      <c r="E23" s="16">
        <f>E22/E11-1</f>
        <v>3.797067786639019E-3</v>
      </c>
      <c r="F23" s="16"/>
      <c r="G23" s="16">
        <f>G22/G11-1</f>
        <v>1.4151064757756071E-2</v>
      </c>
      <c r="H23" s="16"/>
      <c r="I23" s="16"/>
      <c r="J23" s="16">
        <f>J22/J11-1</f>
        <v>2.8943886247727146E-2</v>
      </c>
      <c r="K23" s="16"/>
      <c r="L23" s="16">
        <f>L22/L11-1</f>
        <v>3.0213058934854375E-2</v>
      </c>
      <c r="M23" s="16"/>
      <c r="N23" s="16"/>
      <c r="O23" s="16">
        <f>O22/O11-1</f>
        <v>1.2777885245932818E-2</v>
      </c>
      <c r="P23" s="16">
        <f>P22/P11-1</f>
        <v>2.0651435372011751E-2</v>
      </c>
      <c r="Q23" s="16"/>
    </row>
    <row r="24" spans="1:17">
      <c r="A24" s="9"/>
      <c r="B24" s="9" t="str">
        <f>buu_wk!C61</f>
        <v>Q2</v>
      </c>
      <c r="C24" s="9" t="s">
        <v>79</v>
      </c>
      <c r="D24" s="15"/>
      <c r="E24" s="68">
        <f>buu_wk!D61</f>
        <v>19.75658099</v>
      </c>
      <c r="F24" s="16">
        <f>E24/O24</f>
        <v>0.63868729967317461</v>
      </c>
      <c r="G24" s="68">
        <f>buu_wk!E61</f>
        <v>17.316428720000001</v>
      </c>
      <c r="H24" s="16">
        <f>G24/P24</f>
        <v>0.60797116588721034</v>
      </c>
      <c r="I24" s="27"/>
      <c r="J24" s="68">
        <f>buu_wk!F61</f>
        <v>11.17652352</v>
      </c>
      <c r="K24" s="16">
        <f>J24/O24</f>
        <v>0.36131270032682539</v>
      </c>
      <c r="L24" s="68">
        <f>buu_wk!G61</f>
        <v>11.16589033</v>
      </c>
      <c r="M24" s="16">
        <f>L24/P24</f>
        <v>0.39202883411278966</v>
      </c>
      <c r="N24" s="27"/>
      <c r="O24" s="68">
        <f>E24+J24</f>
        <v>30.93310451</v>
      </c>
      <c r="P24" s="68">
        <f>G24+L24</f>
        <v>28.482319050000001</v>
      </c>
      <c r="Q24" s="16">
        <f>P24/O24</f>
        <v>0.92077143568930453</v>
      </c>
    </row>
    <row r="25" spans="1:17">
      <c r="A25" s="9"/>
      <c r="B25" s="9"/>
      <c r="C25" s="9" t="s">
        <v>81</v>
      </c>
      <c r="D25" s="15"/>
      <c r="E25" s="16">
        <f>E24/E13-1</f>
        <v>-2.2490414115898028E-2</v>
      </c>
      <c r="F25" s="16"/>
      <c r="G25" s="16">
        <f>G24/G13-1</f>
        <v>1.3834983262567491E-2</v>
      </c>
      <c r="H25" s="16"/>
      <c r="I25" s="16"/>
      <c r="J25" s="16">
        <f>J24/J13-1</f>
        <v>-6.6223270107572674E-3</v>
      </c>
      <c r="K25" s="16"/>
      <c r="L25" s="16">
        <f>L24/L13-1</f>
        <v>-8.2440474418038479E-3</v>
      </c>
      <c r="M25" s="16"/>
      <c r="N25" s="16"/>
      <c r="O25" s="16">
        <f>O24/O13-1</f>
        <v>-1.681590559156787E-2</v>
      </c>
      <c r="P25" s="16">
        <f>P24/P13-1</f>
        <v>5.0632264706318431E-3</v>
      </c>
      <c r="Q25" s="16"/>
    </row>
    <row r="26" spans="1:17">
      <c r="A26" s="9"/>
      <c r="B26" s="9" t="str">
        <f>buu_wk!C68</f>
        <v>Q3</v>
      </c>
      <c r="C26" s="9" t="s">
        <v>79</v>
      </c>
      <c r="D26" s="15"/>
      <c r="E26" s="68">
        <f>buu_wk!D68</f>
        <v>19.947023309999999</v>
      </c>
      <c r="F26" s="16">
        <f>E26/O26</f>
        <v>0.63856931571112141</v>
      </c>
      <c r="G26" s="68">
        <f>buu_wk!E68</f>
        <v>16.826840369999999</v>
      </c>
      <c r="H26" s="16">
        <f>G26/P26</f>
        <v>0.59935997471509683</v>
      </c>
      <c r="I26" s="27"/>
      <c r="J26" s="68">
        <f>buu_wk!F68</f>
        <v>11.2900293</v>
      </c>
      <c r="K26" s="16">
        <f>J26/O26</f>
        <v>0.36143068428887859</v>
      </c>
      <c r="L26" s="68">
        <f>buu_wk!G68</f>
        <v>11.24784109</v>
      </c>
      <c r="M26" s="16">
        <f>L26/P26</f>
        <v>0.40064002528490306</v>
      </c>
      <c r="N26" s="27"/>
      <c r="O26" s="68">
        <f>E26+J26</f>
        <v>31.237052609999999</v>
      </c>
      <c r="P26" s="68">
        <f>G26+L26</f>
        <v>28.074681460000001</v>
      </c>
      <c r="Q26" s="16">
        <f>P26/O26</f>
        <v>0.89876217870223707</v>
      </c>
    </row>
    <row r="27" spans="1:17">
      <c r="A27" s="9"/>
      <c r="B27" s="9"/>
      <c r="C27" s="9" t="s">
        <v>81</v>
      </c>
      <c r="D27" s="15"/>
      <c r="E27" s="16">
        <f>E26/E15-1</f>
        <v>1.3516030131522472E-2</v>
      </c>
      <c r="F27" s="16"/>
      <c r="G27" s="16">
        <f>G26/G15-1</f>
        <v>5.9641391934104337E-3</v>
      </c>
      <c r="H27" s="16"/>
      <c r="I27" s="16"/>
      <c r="J27" s="16">
        <f>J26/J15-1</f>
        <v>1.4934764963095759E-2</v>
      </c>
      <c r="K27" s="16"/>
      <c r="L27" s="16">
        <f>L26/L15-1</f>
        <v>1.0480284866609901E-2</v>
      </c>
      <c r="M27" s="16"/>
      <c r="N27" s="16"/>
      <c r="O27" s="16">
        <f>O26/O15-1</f>
        <v>1.4028346483777154E-2</v>
      </c>
      <c r="P27" s="16">
        <f>P26/P15-1</f>
        <v>7.7686324717083366E-3</v>
      </c>
      <c r="Q27" s="16"/>
    </row>
    <row r="28" spans="1:17" ht="16.149999999999999" customHeight="1">
      <c r="B28" s="3" t="str">
        <f>buu_wk!C75</f>
        <v>Q4</v>
      </c>
      <c r="C28" s="3" t="s">
        <v>79</v>
      </c>
      <c r="D28" s="15"/>
      <c r="E28" s="68">
        <f>buu_wk!D75</f>
        <v>19.932923200000001</v>
      </c>
      <c r="F28" s="8">
        <f>E28/O28</f>
        <v>0.64253043508086316</v>
      </c>
      <c r="G28" s="68">
        <f>buu_wk!E75</f>
        <v>17.10288121</v>
      </c>
      <c r="H28" s="8">
        <f>G28/P28</f>
        <v>0.6073232618530231</v>
      </c>
      <c r="I28" s="27"/>
      <c r="J28" s="68">
        <f>buu_wk!F75</f>
        <v>11.08961225</v>
      </c>
      <c r="K28" s="8">
        <f>J28/O28</f>
        <v>0.3574695649191369</v>
      </c>
      <c r="L28" s="68">
        <f>buu_wk!G75</f>
        <v>11.058202489999999</v>
      </c>
      <c r="M28" s="8">
        <f>L28/P28</f>
        <v>0.3926767381469769</v>
      </c>
      <c r="N28" s="27"/>
      <c r="O28" s="68">
        <f>E28+J28</f>
        <v>31.022535449999999</v>
      </c>
      <c r="P28" s="68">
        <f>G28+L28</f>
        <v>28.161083699999999</v>
      </c>
      <c r="Q28" s="8">
        <f>P28/O28</f>
        <v>0.90776215713857777</v>
      </c>
    </row>
    <row r="29" spans="1:17" ht="16.149999999999999" customHeight="1">
      <c r="B29" s="4"/>
      <c r="C29" s="4" t="s">
        <v>81</v>
      </c>
      <c r="D29" s="15"/>
      <c r="E29" s="13">
        <f>E28/E17-1</f>
        <v>7.9763753983301822E-3</v>
      </c>
      <c r="F29" s="13"/>
      <c r="G29" s="13">
        <f>G28/G17-1</f>
        <v>-2.8190243874264054E-2</v>
      </c>
      <c r="H29" s="13"/>
      <c r="I29" s="27"/>
      <c r="J29" s="13">
        <f>J28/J17-1</f>
        <v>2.2345006227446618E-2</v>
      </c>
      <c r="K29" s="13"/>
      <c r="L29" s="13">
        <f>L28/L17-1</f>
        <v>1.8384234931551502E-2</v>
      </c>
      <c r="M29" s="13"/>
      <c r="N29" s="27"/>
      <c r="O29" s="13">
        <f>O28/O17-1</f>
        <v>1.306610562395627E-2</v>
      </c>
      <c r="P29" s="13">
        <f>P28/P17-1</f>
        <v>-1.04187903138655E-2</v>
      </c>
      <c r="Q29" s="13"/>
    </row>
    <row r="30" spans="1:17">
      <c r="B30" s="3" t="s">
        <v>80</v>
      </c>
      <c r="C30" s="3" t="s">
        <v>79</v>
      </c>
      <c r="D30" s="15"/>
      <c r="E30" s="68">
        <f>E26+E24+E22+E28</f>
        <v>79.01911423</v>
      </c>
      <c r="F30" s="8">
        <f>E30/O30</f>
        <v>0.63924712134242545</v>
      </c>
      <c r="G30" s="68">
        <f>G26+G24+G22+G28</f>
        <v>67.255445250000008</v>
      </c>
      <c r="H30" s="8">
        <f>G30/P30</f>
        <v>0.60165803154401609</v>
      </c>
      <c r="I30" s="27"/>
      <c r="J30" s="68">
        <f>J26+J24+J22+J28</f>
        <v>44.593666480000003</v>
      </c>
      <c r="K30" s="8">
        <f>J30/O30</f>
        <v>0.36075287865757455</v>
      </c>
      <c r="L30" s="68">
        <f>L26+L24+L22+L28</f>
        <v>44.52806253</v>
      </c>
      <c r="M30" s="8">
        <f>L30/P30</f>
        <v>0.39834196845598396</v>
      </c>
      <c r="N30" s="27"/>
      <c r="O30" s="68">
        <f>O26+O24+O22+O28</f>
        <v>123.61278071000001</v>
      </c>
      <c r="P30" s="68">
        <f>P26+P24+P22+P28</f>
        <v>111.78350778000001</v>
      </c>
      <c r="Q30" s="8">
        <f>P30/O30</f>
        <v>0.90430380368392571</v>
      </c>
    </row>
    <row r="31" spans="1:17">
      <c r="A31" s="4"/>
      <c r="B31" s="4"/>
      <c r="C31" s="4" t="s">
        <v>81</v>
      </c>
      <c r="D31" s="15"/>
      <c r="E31" s="13">
        <f>E30/E19-1</f>
        <v>5.3820049441166695E-4</v>
      </c>
      <c r="F31" s="13"/>
      <c r="G31" s="13">
        <f>G30/G19-1</f>
        <v>9.4256792950497825E-4</v>
      </c>
      <c r="H31" s="13"/>
      <c r="I31" s="16"/>
      <c r="J31" s="13">
        <f>J30/J19-1</f>
        <v>1.4664388962210895E-2</v>
      </c>
      <c r="K31" s="13"/>
      <c r="L31" s="13">
        <f>L30/L19-1</f>
        <v>1.2453523513371811E-2</v>
      </c>
      <c r="M31" s="13"/>
      <c r="N31" s="16"/>
      <c r="O31" s="13">
        <f>O30/O19-1</f>
        <v>5.5886817026511437E-3</v>
      </c>
      <c r="P31" s="13">
        <f>P30/P19-1</f>
        <v>5.4963563490963985E-3</v>
      </c>
      <c r="Q31" s="13"/>
    </row>
    <row r="32" spans="1:17">
      <c r="A32" s="34" t="str">
        <f>說明!B18</f>
        <v>1.</v>
      </c>
      <c r="B32" s="34" t="str">
        <f>說明!C18</f>
        <v>資料來源：總額各案件核定醫療費用分攤明細(PHFB_DECIDE_DIST)</v>
      </c>
      <c r="E32" s="7"/>
      <c r="F32" s="8"/>
      <c r="G32" s="7"/>
      <c r="H32" s="8"/>
      <c r="J32" s="7"/>
      <c r="K32" s="8"/>
      <c r="L32" s="7"/>
      <c r="M32" s="8"/>
      <c r="O32" s="7"/>
      <c r="P32" s="7"/>
      <c r="Q32" s="8"/>
    </row>
    <row r="33" spans="1:17">
      <c r="A33" s="34" t="str">
        <f>說明!B19</f>
        <v>2.</v>
      </c>
      <c r="B33" s="34" t="str">
        <f>說明!C19</f>
        <v>資料處理：</v>
      </c>
      <c r="E33" s="7"/>
      <c r="F33" s="8"/>
      <c r="G33" s="7"/>
      <c r="H33" s="8"/>
      <c r="J33" s="7"/>
      <c r="K33" s="8"/>
      <c r="L33" s="7"/>
      <c r="M33" s="8"/>
      <c r="O33" s="7"/>
      <c r="P33" s="7"/>
      <c r="Q33" s="8"/>
    </row>
    <row r="34" spans="1:17">
      <c r="A34" s="34"/>
      <c r="B34" s="34" t="str">
        <f>說明!C20</f>
        <v>※本表僅含當季核定之送核、補報資料</v>
      </c>
      <c r="E34" s="7"/>
      <c r="F34" s="8"/>
      <c r="G34" s="7"/>
      <c r="H34" s="8"/>
      <c r="J34" s="7"/>
      <c r="K34" s="8"/>
      <c r="L34" s="7"/>
      <c r="M34" s="8"/>
      <c r="O34" s="7"/>
      <c r="P34" s="7"/>
      <c r="Q34" s="8"/>
    </row>
    <row r="35" spans="1:17">
      <c r="A35" s="34"/>
      <c r="B35" s="34" t="str">
        <f>說明!C21</f>
        <v>※本表不含申複、爭議審議等之核定醫療點數及費用</v>
      </c>
      <c r="E35" s="7"/>
      <c r="F35" s="8"/>
      <c r="G35" s="7"/>
      <c r="H35" s="8"/>
      <c r="J35" s="7"/>
      <c r="K35" s="8"/>
      <c r="L35" s="7"/>
      <c r="M35" s="8"/>
      <c r="O35" s="7"/>
      <c r="P35" s="7"/>
      <c r="Q35" s="8"/>
    </row>
    <row r="36" spans="1:17">
      <c r="A36" s="34"/>
      <c r="B36" s="34" t="str">
        <f>說明!C22</f>
        <v>※本表不含代辦、總額外及追扣、補付付款之項目</v>
      </c>
      <c r="E36" s="7"/>
      <c r="F36" s="8"/>
      <c r="G36" s="7"/>
      <c r="H36" s="8"/>
      <c r="J36" s="7"/>
      <c r="K36" s="8"/>
      <c r="L36" s="7"/>
      <c r="M36" s="8"/>
      <c r="O36" s="7"/>
      <c r="P36" s="7"/>
      <c r="Q36" s="8"/>
    </row>
    <row r="37" spans="1:17">
      <c r="A37" s="34"/>
      <c r="B37" s="34" t="str">
        <f>說明!C23</f>
        <v>※本表所謂浮動點值部分係指各總額別中一般部門預算之浮動點值部份</v>
      </c>
      <c r="E37" s="7"/>
      <c r="F37" s="8"/>
      <c r="G37" s="7"/>
      <c r="H37" s="8"/>
      <c r="J37" s="7"/>
      <c r="K37" s="8"/>
      <c r="L37" s="7"/>
      <c r="M37" s="8"/>
      <c r="O37" s="7"/>
      <c r="P37" s="7"/>
      <c r="Q37" s="8"/>
    </row>
    <row r="38" spans="1:17">
      <c r="A38" s="34"/>
      <c r="B38" s="34" t="str">
        <f>說明!C24</f>
        <v>※本表所謂固定點值部分係指各總額別中一般部門預算之非浮動點值及專款部份</v>
      </c>
    </row>
    <row r="39" spans="1:17">
      <c r="A39" s="34"/>
      <c r="B39" s="34" t="str">
        <f>說明!C25</f>
        <v>※層級別中不含處方釋出之醫療點數及費用</v>
      </c>
    </row>
    <row r="40" spans="1:17">
      <c r="A40" s="34"/>
      <c r="B40" s="34"/>
    </row>
  </sheetData>
  <mergeCells count="7">
    <mergeCell ref="A21:C21"/>
    <mergeCell ref="A1:Q1"/>
    <mergeCell ref="A4:C4"/>
    <mergeCell ref="A10:C10"/>
    <mergeCell ref="E2:H2"/>
    <mergeCell ref="J2:M2"/>
    <mergeCell ref="O2:Q2"/>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91" orientation="landscape" r:id="rId1"/>
  <headerFooter alignWithMargins="0"/>
</worksheet>
</file>

<file path=xl/worksheets/sheet18.xml><?xml version="1.0" encoding="utf-8"?>
<worksheet xmlns="http://schemas.openxmlformats.org/spreadsheetml/2006/main" xmlns:r="http://schemas.openxmlformats.org/officeDocument/2006/relationships">
  <sheetPr codeName="Sheet8"/>
  <dimension ref="A1:Q156"/>
  <sheetViews>
    <sheetView showGridLines="0" zoomScale="60" workbookViewId="0">
      <pane ySplit="3" topLeftCell="A4" activePane="bottomLeft" state="frozen"/>
      <selection activeCell="E33" sqref="E33"/>
      <selection pane="bottomLeft" activeCell="U28" sqref="U28"/>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25" style="3" bestFit="1" customWidth="1"/>
    <col min="6" max="8" width="11" style="3" bestFit="1" customWidth="1"/>
    <col min="9" max="9" width="1.875" style="3" customWidth="1"/>
    <col min="10" max="10" width="12.25" style="3" bestFit="1" customWidth="1"/>
    <col min="11" max="13" width="11" style="3" bestFit="1" customWidth="1"/>
    <col min="14" max="14" width="2.25" style="3" customWidth="1"/>
    <col min="15" max="16" width="12.25" style="3" bestFit="1" customWidth="1"/>
    <col min="17" max="17" width="11" style="3" bestFit="1" customWidth="1"/>
    <col min="18" max="16384" width="8.875" style="2"/>
  </cols>
  <sheetData>
    <row r="1" spans="1:17" s="17" customFormat="1" ht="34.9" customHeight="1">
      <c r="A1" s="94" t="s">
        <v>32</v>
      </c>
      <c r="B1" s="94"/>
      <c r="C1" s="94"/>
      <c r="D1" s="94"/>
      <c r="E1" s="94"/>
      <c r="F1" s="94"/>
      <c r="G1" s="94"/>
      <c r="H1" s="94"/>
      <c r="I1" s="94"/>
      <c r="J1" s="94"/>
      <c r="K1" s="94"/>
      <c r="L1" s="94"/>
      <c r="M1" s="94"/>
      <c r="N1" s="94"/>
      <c r="O1" s="94"/>
      <c r="P1" s="94"/>
      <c r="Q1" s="94"/>
    </row>
    <row r="2" spans="1:17" s="3" customFormat="1">
      <c r="E2" s="90" t="s">
        <v>10</v>
      </c>
      <c r="F2" s="90"/>
      <c r="G2" s="90"/>
      <c r="H2" s="90"/>
      <c r="J2" s="90" t="s">
        <v>11</v>
      </c>
      <c r="K2" s="90"/>
      <c r="L2" s="90"/>
      <c r="M2" s="90"/>
      <c r="O2" s="90" t="s">
        <v>12</v>
      </c>
      <c r="P2" s="90"/>
      <c r="Q2" s="90"/>
    </row>
    <row r="3" spans="1:17" s="3" customFormat="1" ht="28.5">
      <c r="A3" s="4" t="s">
        <v>13</v>
      </c>
      <c r="B3" s="4" t="s">
        <v>14</v>
      </c>
      <c r="C3" s="4" t="s">
        <v>15</v>
      </c>
      <c r="E3" s="5" t="s">
        <v>16</v>
      </c>
      <c r="F3" s="6" t="s">
        <v>17</v>
      </c>
      <c r="G3" s="6" t="s">
        <v>18</v>
      </c>
      <c r="H3" s="6" t="s">
        <v>17</v>
      </c>
      <c r="J3" s="5" t="s">
        <v>16</v>
      </c>
      <c r="K3" s="6" t="s">
        <v>17</v>
      </c>
      <c r="L3" s="6" t="s">
        <v>18</v>
      </c>
      <c r="M3" s="6" t="s">
        <v>17</v>
      </c>
      <c r="O3" s="5" t="s">
        <v>16</v>
      </c>
      <c r="P3" s="6" t="s">
        <v>18</v>
      </c>
      <c r="Q3" s="6" t="s">
        <v>19</v>
      </c>
    </row>
    <row r="4" spans="1:17" s="3" customFormat="1">
      <c r="A4" s="88">
        <f>buu_wk!B2</f>
        <v>2004</v>
      </c>
      <c r="B4" s="88"/>
      <c r="C4" s="88"/>
      <c r="E4" s="10"/>
      <c r="F4" s="9"/>
      <c r="G4" s="9"/>
      <c r="H4" s="9"/>
      <c r="J4" s="10"/>
      <c r="K4" s="9"/>
      <c r="L4" s="9"/>
      <c r="M4" s="9"/>
      <c r="O4" s="10"/>
      <c r="P4" s="9"/>
      <c r="Q4" s="9"/>
    </row>
    <row r="5" spans="1:17">
      <c r="A5" s="2"/>
      <c r="B5" s="3" t="str">
        <f>buu_wk!C2</f>
        <v>Q1</v>
      </c>
      <c r="C5" s="3" t="s">
        <v>20</v>
      </c>
      <c r="E5" s="7">
        <f>buu_wk!D2</f>
        <v>149.98860375999999</v>
      </c>
      <c r="F5" s="8">
        <f>E5/O5</f>
        <v>0.72700166935348676</v>
      </c>
      <c r="G5" s="7">
        <f>buu_wk!E2</f>
        <v>133.00639562999999</v>
      </c>
      <c r="H5" s="8">
        <f>G5/P5</f>
        <v>0.70248865893819368</v>
      </c>
      <c r="I5" s="8"/>
      <c r="J5" s="7">
        <f>buu_wk!F2</f>
        <v>56.32261956</v>
      </c>
      <c r="K5" s="8">
        <f>J5/O5</f>
        <v>0.2729983306465133</v>
      </c>
      <c r="L5" s="7">
        <f>buu_wk!G2</f>
        <v>56.329608499999999</v>
      </c>
      <c r="M5" s="8">
        <f>L5/P5</f>
        <v>0.29751134106180632</v>
      </c>
      <c r="N5" s="8"/>
      <c r="O5" s="7">
        <f>E5+J5</f>
        <v>206.31122331999998</v>
      </c>
      <c r="P5" s="7">
        <f>G5+L5</f>
        <v>189.33600412999999</v>
      </c>
      <c r="Q5" s="8">
        <f>P5/O5</f>
        <v>0.91772033088248184</v>
      </c>
    </row>
    <row r="6" spans="1:17">
      <c r="B6" s="3" t="str">
        <f>buu_wk!C3</f>
        <v>Q2</v>
      </c>
      <c r="C6" s="3" t="s">
        <v>20</v>
      </c>
      <c r="E6" s="7">
        <f>buu_wk!D3</f>
        <v>157.35882347</v>
      </c>
      <c r="F6" s="8">
        <f>E6/O6</f>
        <v>0.73340539734066712</v>
      </c>
      <c r="G6" s="7">
        <f>buu_wk!E3</f>
        <v>139.45309635999999</v>
      </c>
      <c r="H6" s="8">
        <f>G6/P6</f>
        <v>0.70907301485299934</v>
      </c>
      <c r="I6" s="7"/>
      <c r="J6" s="7">
        <f>buu_wk!F3</f>
        <v>57.200305819999997</v>
      </c>
      <c r="K6" s="8">
        <f>J6/O6</f>
        <v>0.26659460265933299</v>
      </c>
      <c r="L6" s="7">
        <f>buu_wk!G3</f>
        <v>57.216489760000002</v>
      </c>
      <c r="M6" s="8">
        <f>L6/P6</f>
        <v>0.29092698514700066</v>
      </c>
      <c r="N6" s="7"/>
      <c r="O6" s="7">
        <f>E6+J6</f>
        <v>214.55912928999999</v>
      </c>
      <c r="P6" s="7">
        <f>G6+L6</f>
        <v>196.66958611999999</v>
      </c>
      <c r="Q6" s="8">
        <f>P6/O6</f>
        <v>0.91662185044654831</v>
      </c>
    </row>
    <row r="7" spans="1:17">
      <c r="B7" s="3" t="str">
        <f>buu_wk!C4</f>
        <v>Q3</v>
      </c>
      <c r="C7" s="3" t="s">
        <v>20</v>
      </c>
      <c r="E7" s="7">
        <f>buu_wk!D4</f>
        <v>161.48355581999999</v>
      </c>
      <c r="F7" s="8">
        <f>E7/O7</f>
        <v>0.74309679809100027</v>
      </c>
      <c r="G7" s="7">
        <f>buu_wk!E4</f>
        <v>140.81397023</v>
      </c>
      <c r="H7" s="8">
        <f>G7/P7</f>
        <v>0.71594587985886304</v>
      </c>
      <c r="I7" s="7"/>
      <c r="J7" s="7">
        <f>buu_wk!F4</f>
        <v>55.828046430000001</v>
      </c>
      <c r="K7" s="8">
        <f>J7/O7</f>
        <v>0.25690320190899979</v>
      </c>
      <c r="L7" s="7">
        <f>buu_wk!G4</f>
        <v>55.868452550000001</v>
      </c>
      <c r="M7" s="8">
        <f>L7/P7</f>
        <v>0.2840541201411369</v>
      </c>
      <c r="N7" s="7"/>
      <c r="O7" s="7">
        <f>E7+J7</f>
        <v>217.31160224999999</v>
      </c>
      <c r="P7" s="7">
        <f>G7+L7</f>
        <v>196.68242278</v>
      </c>
      <c r="Q7" s="8">
        <f>P7/O7</f>
        <v>0.90507097064119135</v>
      </c>
    </row>
    <row r="8" spans="1:17">
      <c r="B8" s="4" t="str">
        <f>buu_wk!C5</f>
        <v>Q4</v>
      </c>
      <c r="C8" s="4" t="s">
        <v>20</v>
      </c>
      <c r="D8" s="11"/>
      <c r="E8" s="12">
        <f>buu_wk!D5</f>
        <v>165.88498933</v>
      </c>
      <c r="F8" s="13">
        <f>E8/O8</f>
        <v>0.74090249550264431</v>
      </c>
      <c r="G8" s="12">
        <f>buu_wk!E5</f>
        <v>140.83848277999999</v>
      </c>
      <c r="H8" s="13">
        <f>G8/P8</f>
        <v>0.70804252879334117</v>
      </c>
      <c r="I8" s="12"/>
      <c r="J8" s="12">
        <f>buu_wk!F5</f>
        <v>58.010854369999997</v>
      </c>
      <c r="K8" s="13">
        <f>J8/O8</f>
        <v>0.25909750449735569</v>
      </c>
      <c r="L8" s="12">
        <f>buu_wk!G5</f>
        <v>58.073979469999998</v>
      </c>
      <c r="M8" s="13">
        <f>L8/P8</f>
        <v>0.29195747120665894</v>
      </c>
      <c r="N8" s="12"/>
      <c r="O8" s="12">
        <f>E8+J8</f>
        <v>223.8958437</v>
      </c>
      <c r="P8" s="12">
        <f>G8+L8</f>
        <v>198.91246224999998</v>
      </c>
      <c r="Q8" s="13">
        <f>P8/O8</f>
        <v>0.88841516199168269</v>
      </c>
    </row>
    <row r="9" spans="1:17">
      <c r="A9" s="4"/>
      <c r="B9" s="4" t="s">
        <v>21</v>
      </c>
      <c r="C9" s="4" t="s">
        <v>20</v>
      </c>
      <c r="D9" s="11"/>
      <c r="E9" s="12">
        <f>SUM(E5:E8)</f>
        <v>634.71597238000004</v>
      </c>
      <c r="F9" s="13">
        <f>E9/O9</f>
        <v>0.73626298396759415</v>
      </c>
      <c r="G9" s="12">
        <f>SUM(G5:G8)</f>
        <v>554.11194499999988</v>
      </c>
      <c r="H9" s="13">
        <f>G9/P9</f>
        <v>0.7089452508348274</v>
      </c>
      <c r="I9" s="12"/>
      <c r="J9" s="12">
        <f>SUM(J5:J8)</f>
        <v>227.36182618000001</v>
      </c>
      <c r="K9" s="13">
        <f>J9/O9</f>
        <v>0.26373701603240607</v>
      </c>
      <c r="L9" s="12">
        <f>SUM(L5:L8)</f>
        <v>227.48853028000002</v>
      </c>
      <c r="M9" s="13">
        <f>L9/P9</f>
        <v>0.29105474916517254</v>
      </c>
      <c r="N9" s="12"/>
      <c r="O9" s="12">
        <f>SUM(O5:O8)</f>
        <v>862.07779855999991</v>
      </c>
      <c r="P9" s="12">
        <f>SUM(P5:P8)</f>
        <v>781.60047527999996</v>
      </c>
      <c r="Q9" s="13">
        <f>P9/O9</f>
        <v>0.90664726151812758</v>
      </c>
    </row>
    <row r="10" spans="1:17">
      <c r="A10" s="88">
        <f>buu_wk!B6</f>
        <v>2005</v>
      </c>
      <c r="B10" s="88"/>
      <c r="C10" s="88"/>
      <c r="E10" s="7"/>
      <c r="F10" s="8"/>
      <c r="G10" s="7"/>
      <c r="H10" s="8"/>
      <c r="I10" s="7"/>
      <c r="J10" s="7"/>
      <c r="K10" s="8"/>
      <c r="L10" s="7"/>
      <c r="M10" s="8"/>
      <c r="N10" s="7"/>
      <c r="O10" s="7"/>
      <c r="P10" s="7"/>
      <c r="Q10" s="8"/>
    </row>
    <row r="11" spans="1:17">
      <c r="A11" s="2"/>
      <c r="B11" s="3" t="str">
        <f>buu_wk!C6</f>
        <v>Q1</v>
      </c>
      <c r="C11" s="3" t="s">
        <v>20</v>
      </c>
      <c r="E11" s="7">
        <f>buu_wk!D6</f>
        <v>144.26880423</v>
      </c>
      <c r="F11" s="8">
        <f>E11/O11</f>
        <v>0.66925053103092347</v>
      </c>
      <c r="G11" s="7">
        <f>buu_wk!E6</f>
        <v>118.56804669</v>
      </c>
      <c r="H11" s="8">
        <f>G11/P11</f>
        <v>0.62440315447561601</v>
      </c>
      <c r="I11" s="7"/>
      <c r="J11" s="7">
        <f>buu_wk!F6</f>
        <v>71.298905529999999</v>
      </c>
      <c r="K11" s="8">
        <f>J11/O11</f>
        <v>0.33074946896907642</v>
      </c>
      <c r="L11" s="7">
        <f>buu_wk!G6</f>
        <v>71.322164209999997</v>
      </c>
      <c r="M11" s="8">
        <f>L11/P11</f>
        <v>0.37559684552438399</v>
      </c>
      <c r="N11" s="7"/>
      <c r="O11" s="7">
        <f>E11+J11</f>
        <v>215.56770976000001</v>
      </c>
      <c r="P11" s="7">
        <f>G11+L11</f>
        <v>189.8902109</v>
      </c>
      <c r="Q11" s="8">
        <f>P11/O11</f>
        <v>0.88088429900476384</v>
      </c>
    </row>
    <row r="12" spans="1:17">
      <c r="C12" s="3" t="s">
        <v>22</v>
      </c>
      <c r="E12" s="8">
        <f>E11/E5-1</f>
        <v>-3.8134894162708322E-2</v>
      </c>
      <c r="F12" s="8">
        <f>F11/F5-1</f>
        <v>-7.9437421889169246E-2</v>
      </c>
      <c r="G12" s="8">
        <f>G11/G5-1</f>
        <v>-0.10855379451199387</v>
      </c>
      <c r="H12" s="8">
        <f>H11/H5-1</f>
        <v>-0.11115553748668816</v>
      </c>
      <c r="I12" s="7"/>
      <c r="J12" s="8">
        <f>J11/J5-1</f>
        <v>0.26590180085721848</v>
      </c>
      <c r="K12" s="8">
        <f>K11/K5-1</f>
        <v>0.21154392477711181</v>
      </c>
      <c r="L12" s="8">
        <f>L11/L5-1</f>
        <v>0.26615764087904137</v>
      </c>
      <c r="M12" s="8">
        <f>M11/M5-1</f>
        <v>0.26246227852657178</v>
      </c>
      <c r="N12" s="7"/>
      <c r="O12" s="8">
        <f>O11/O5-1</f>
        <v>4.4866616033014894E-2</v>
      </c>
      <c r="P12" s="8">
        <f>P11/P5-1</f>
        <v>2.9271071423873085E-3</v>
      </c>
      <c r="Q12" s="8">
        <f>Q11/Q5-1</f>
        <v>-4.0138624631205877E-2</v>
      </c>
    </row>
    <row r="13" spans="1:17">
      <c r="B13" s="3" t="str">
        <f>buu_wk!C7</f>
        <v>Q2</v>
      </c>
      <c r="C13" s="3" t="s">
        <v>20</v>
      </c>
      <c r="E13" s="7">
        <f>buu_wk!D7</f>
        <v>150.94278753</v>
      </c>
      <c r="F13" s="8">
        <f>E13/O13</f>
        <v>0.67338989784851944</v>
      </c>
      <c r="G13" s="7">
        <f>buu_wk!E7</f>
        <v>126.67869358</v>
      </c>
      <c r="H13" s="8">
        <f>G13/P13</f>
        <v>0.63360382348235078</v>
      </c>
      <c r="I13" s="7"/>
      <c r="J13" s="7">
        <f>buu_wk!F7</f>
        <v>73.210838789999997</v>
      </c>
      <c r="K13" s="8">
        <f>J13/O13</f>
        <v>0.32661010215148056</v>
      </c>
      <c r="L13" s="7">
        <f>buu_wk!G7</f>
        <v>73.254906700000006</v>
      </c>
      <c r="M13" s="8">
        <f>L13/P13</f>
        <v>0.36639617651764922</v>
      </c>
      <c r="N13" s="7"/>
      <c r="O13" s="7">
        <f>E13+J13</f>
        <v>224.15362632</v>
      </c>
      <c r="P13" s="7">
        <f>G13+L13</f>
        <v>199.93360028000001</v>
      </c>
      <c r="Q13" s="8">
        <f>P13/O13</f>
        <v>0.89194898856811855</v>
      </c>
    </row>
    <row r="14" spans="1:17">
      <c r="C14" s="3" t="s">
        <v>22</v>
      </c>
      <c r="E14" s="8">
        <f>E13/E6-1</f>
        <v>-4.0773283623483647E-2</v>
      </c>
      <c r="F14" s="8">
        <f>F13/F7-1</f>
        <v>-9.3805948863669442E-2</v>
      </c>
      <c r="G14" s="8">
        <f>G13/G7-1</f>
        <v>-0.10038262984071811</v>
      </c>
      <c r="H14" s="8">
        <f>H13/H7-1</f>
        <v>-0.11501156538919488</v>
      </c>
      <c r="I14" s="7"/>
      <c r="J14" s="8">
        <f>J13/J7-1</f>
        <v>0.31136307772824212</v>
      </c>
      <c r="K14" s="8">
        <f>K13/K7-1</f>
        <v>0.27133527229128251</v>
      </c>
      <c r="L14" s="8">
        <f>L13/L7-1</f>
        <v>0.31120343156882391</v>
      </c>
      <c r="M14" s="8">
        <f>M13/M7-1</f>
        <v>0.2898815772698502</v>
      </c>
      <c r="N14" s="7"/>
      <c r="O14" s="8">
        <f>O13/O7-1</f>
        <v>3.1484854003003493E-2</v>
      </c>
      <c r="P14" s="8">
        <f>P13/P7-1</f>
        <v>1.6530086695325297E-2</v>
      </c>
      <c r="Q14" s="8">
        <f>Q13/Q7-1</f>
        <v>-1.449829074042297E-2</v>
      </c>
    </row>
    <row r="15" spans="1:17">
      <c r="B15" s="3" t="str">
        <f>buu_wk!C8</f>
        <v>Q3</v>
      </c>
      <c r="C15" s="3" t="s">
        <v>20</v>
      </c>
      <c r="E15" s="7">
        <f>buu_wk!D8</f>
        <v>146.95722692000001</v>
      </c>
      <c r="F15" s="8">
        <f>E15/O15</f>
        <v>0.670597201136794</v>
      </c>
      <c r="G15" s="7">
        <f>buu_wk!E8</f>
        <v>125.30440432</v>
      </c>
      <c r="H15" s="8">
        <f>G15/P15</f>
        <v>0.63435115610119586</v>
      </c>
      <c r="I15" s="7"/>
      <c r="J15" s="7">
        <f>buu_wk!F8</f>
        <v>72.186584999999994</v>
      </c>
      <c r="K15" s="8">
        <f>J15/O15</f>
        <v>0.32940279886320589</v>
      </c>
      <c r="L15" s="7">
        <f>buu_wk!G8</f>
        <v>72.22720434</v>
      </c>
      <c r="M15" s="8">
        <f>L15/P15</f>
        <v>0.36564884389880409</v>
      </c>
      <c r="N15" s="7"/>
      <c r="O15" s="7">
        <f>E15+J15</f>
        <v>219.14381192000002</v>
      </c>
      <c r="P15" s="7">
        <f>G15+L15</f>
        <v>197.53160866000002</v>
      </c>
      <c r="Q15" s="8">
        <f>P15/O15</f>
        <v>0.90137890241733276</v>
      </c>
    </row>
    <row r="16" spans="1:17">
      <c r="C16" s="3" t="s">
        <v>22</v>
      </c>
      <c r="E16" s="8">
        <f>E15/E7-1</f>
        <v>-8.9955468383368764E-2</v>
      </c>
      <c r="F16" s="8">
        <f>F15/F9-1</f>
        <v>-8.9187945422624093E-2</v>
      </c>
      <c r="G16" s="8">
        <f>G15/G9-1</f>
        <v>-0.77386445924749014</v>
      </c>
      <c r="H16" s="8">
        <f>H15/H9-1</f>
        <v>-0.10521841375732799</v>
      </c>
      <c r="I16" s="7"/>
      <c r="J16" s="8">
        <f>J15/J9-1</f>
        <v>-0.68250349580298231</v>
      </c>
      <c r="K16" s="8">
        <f>K15/K9-1</f>
        <v>0.24898204968972304</v>
      </c>
      <c r="L16" s="8">
        <f>L15/L9-1</f>
        <v>-0.68250177601877127</v>
      </c>
      <c r="M16" s="8">
        <f>M15/M9-1</f>
        <v>0.25628887674084866</v>
      </c>
      <c r="N16" s="7"/>
      <c r="O16" s="8">
        <f>O15/O9-1</f>
        <v>-0.74579578283299475</v>
      </c>
      <c r="P16" s="8">
        <f>P15/P9-1</f>
        <v>-0.7472729163972982</v>
      </c>
      <c r="Q16" s="8">
        <f>Q15/Q9-1</f>
        <v>-5.8108145520379129E-3</v>
      </c>
    </row>
    <row r="17" spans="1:17">
      <c r="B17" s="3" t="str">
        <f>buu_wk!C9</f>
        <v>Q4</v>
      </c>
      <c r="C17" s="3" t="s">
        <v>20</v>
      </c>
      <c r="E17" s="7"/>
      <c r="F17" s="8"/>
      <c r="G17" s="7"/>
      <c r="H17" s="8"/>
      <c r="I17" s="7"/>
      <c r="J17" s="7"/>
      <c r="K17" s="8"/>
      <c r="L17" s="7"/>
      <c r="M17" s="8"/>
      <c r="N17" s="7"/>
      <c r="O17" s="7"/>
      <c r="P17" s="7"/>
      <c r="Q17" s="8"/>
    </row>
    <row r="18" spans="1:17">
      <c r="B18" s="4"/>
      <c r="C18" s="4" t="s">
        <v>22</v>
      </c>
      <c r="D18" s="11"/>
      <c r="E18" s="13">
        <f>E17/E8-1</f>
        <v>-1</v>
      </c>
      <c r="F18" s="13">
        <f>F17/F11-1</f>
        <v>-1</v>
      </c>
      <c r="G18" s="13">
        <f>G17/G11-1</f>
        <v>-1</v>
      </c>
      <c r="H18" s="13">
        <f>H17/H11-1</f>
        <v>-1</v>
      </c>
      <c r="I18" s="12"/>
      <c r="J18" s="13">
        <f>J17/J11-1</f>
        <v>-1</v>
      </c>
      <c r="K18" s="13">
        <f>K17/K11-1</f>
        <v>-1</v>
      </c>
      <c r="L18" s="13">
        <f>L17/L11-1</f>
        <v>-1</v>
      </c>
      <c r="M18" s="13">
        <f>M17/M11-1</f>
        <v>-1</v>
      </c>
      <c r="N18" s="12"/>
      <c r="O18" s="13">
        <f>O17/O11-1</f>
        <v>-1</v>
      </c>
      <c r="P18" s="13">
        <f>P17/P11-1</f>
        <v>-1</v>
      </c>
      <c r="Q18" s="13">
        <f>Q17/Q11-1</f>
        <v>-1</v>
      </c>
    </row>
    <row r="19" spans="1:17">
      <c r="B19" s="3" t="s">
        <v>21</v>
      </c>
      <c r="C19" s="3" t="s">
        <v>20</v>
      </c>
      <c r="E19" s="7">
        <f>E15+E13+E11+E17</f>
        <v>442.16881868000002</v>
      </c>
      <c r="F19" s="8">
        <f>E19/O19</f>
        <v>0.67110670525252913</v>
      </c>
      <c r="G19" s="7">
        <f>G15+G13+G11+G17</f>
        <v>370.55114459000004</v>
      </c>
      <c r="H19" s="8">
        <f>G19/P19</f>
        <v>0.63088060835625037</v>
      </c>
      <c r="I19" s="7"/>
      <c r="J19" s="7">
        <f>J15+J13+J11+J17</f>
        <v>216.69632932000002</v>
      </c>
      <c r="K19" s="8">
        <f>J19/O19</f>
        <v>0.32889329474747081</v>
      </c>
      <c r="L19" s="7">
        <f>L15+L13+L11+L17</f>
        <v>216.80427524999999</v>
      </c>
      <c r="M19" s="8">
        <f>L19/P19</f>
        <v>0.36911939164374974</v>
      </c>
      <c r="N19" s="7"/>
      <c r="O19" s="7">
        <f>O15+O13+O11+O17</f>
        <v>658.86514800000009</v>
      </c>
      <c r="P19" s="7">
        <f>P15+P13+P11+P17</f>
        <v>587.35541983999997</v>
      </c>
      <c r="Q19" s="8">
        <f>P19/O19</f>
        <v>0.89146530458156803</v>
      </c>
    </row>
    <row r="20" spans="1:17">
      <c r="A20" s="4"/>
      <c r="B20" s="4"/>
      <c r="C20" s="4" t="s">
        <v>22</v>
      </c>
      <c r="D20" s="11"/>
      <c r="E20" s="13">
        <f>E19/(E7+E6+E5)-1</f>
        <v>-5.686945900321716E-2</v>
      </c>
      <c r="F20" s="13"/>
      <c r="G20" s="13">
        <f t="shared" ref="G20:P20" si="0">G19/(G7+G6+G5)-1</f>
        <v>-0.10337541975356113</v>
      </c>
      <c r="H20" s="13"/>
      <c r="I20" s="13"/>
      <c r="J20" s="13">
        <f t="shared" si="0"/>
        <v>0.27956944683564156</v>
      </c>
      <c r="K20" s="13"/>
      <c r="L20" s="13">
        <f t="shared" si="0"/>
        <v>0.27972641200783266</v>
      </c>
      <c r="M20" s="13"/>
      <c r="N20" s="13"/>
      <c r="O20" s="13">
        <f t="shared" si="0"/>
        <v>3.2409554959192732E-2</v>
      </c>
      <c r="P20" s="13">
        <f t="shared" si="0"/>
        <v>8.0101301307526906E-3</v>
      </c>
      <c r="Q20" s="13"/>
    </row>
    <row r="21" spans="1:17">
      <c r="A21" s="24"/>
      <c r="B21" s="9"/>
      <c r="C21" s="9"/>
      <c r="D21" s="15"/>
      <c r="E21" s="16"/>
      <c r="F21" s="16"/>
      <c r="G21" s="16"/>
      <c r="H21" s="16"/>
      <c r="I21" s="16"/>
      <c r="J21" s="16"/>
      <c r="K21" s="16"/>
      <c r="L21" s="16"/>
      <c r="M21" s="16"/>
      <c r="N21" s="16"/>
      <c r="O21" s="16"/>
      <c r="P21" s="16"/>
      <c r="Q21" s="16"/>
    </row>
    <row r="22" spans="1:17">
      <c r="A22" s="25"/>
      <c r="B22" s="9"/>
      <c r="C22" s="9"/>
      <c r="D22" s="15"/>
      <c r="E22" s="16"/>
      <c r="F22" s="16"/>
      <c r="G22" s="16"/>
      <c r="H22" s="16"/>
      <c r="I22" s="16"/>
      <c r="J22" s="16"/>
      <c r="K22" s="16"/>
      <c r="L22" s="16"/>
      <c r="M22" s="16"/>
      <c r="N22" s="16"/>
      <c r="O22" s="16"/>
      <c r="P22" s="16"/>
      <c r="Q22" s="16"/>
    </row>
    <row r="23" spans="1:17">
      <c r="A23" s="25"/>
      <c r="B23" s="9"/>
      <c r="C23" s="9"/>
      <c r="D23" s="15"/>
      <c r="E23" s="16"/>
      <c r="F23" s="16"/>
      <c r="G23" s="16"/>
      <c r="H23" s="16"/>
      <c r="I23" s="16"/>
      <c r="J23" s="16"/>
      <c r="K23" s="16"/>
      <c r="L23" s="16"/>
      <c r="M23" s="16"/>
      <c r="N23" s="16"/>
      <c r="O23" s="16"/>
      <c r="P23" s="16"/>
      <c r="Q23" s="16"/>
    </row>
    <row r="24" spans="1:17">
      <c r="A24" s="26"/>
      <c r="B24" s="9"/>
      <c r="C24" s="9"/>
      <c r="D24" s="15"/>
      <c r="E24" s="16"/>
      <c r="F24" s="16"/>
      <c r="G24" s="16"/>
      <c r="H24" s="16"/>
      <c r="I24" s="16"/>
      <c r="J24" s="16"/>
      <c r="K24" s="16"/>
      <c r="L24" s="16"/>
      <c r="M24" s="16"/>
      <c r="N24" s="16"/>
      <c r="O24" s="16"/>
      <c r="P24" s="16"/>
      <c r="Q24" s="16"/>
    </row>
    <row r="25" spans="1:17">
      <c r="A25" s="26"/>
      <c r="B25" s="9"/>
      <c r="C25" s="9"/>
      <c r="D25" s="15"/>
      <c r="E25" s="16"/>
      <c r="F25" s="16"/>
      <c r="G25" s="16"/>
      <c r="H25" s="16"/>
      <c r="I25" s="16"/>
      <c r="J25" s="16"/>
      <c r="K25" s="16"/>
      <c r="L25" s="16"/>
      <c r="M25" s="16"/>
      <c r="N25" s="16"/>
      <c r="O25" s="16"/>
      <c r="P25" s="16"/>
      <c r="Q25" s="16"/>
    </row>
    <row r="26" spans="1:17">
      <c r="A26" s="26"/>
      <c r="B26" s="9"/>
      <c r="C26" s="9"/>
      <c r="D26" s="15"/>
      <c r="E26" s="16"/>
      <c r="F26" s="16"/>
      <c r="G26" s="16"/>
      <c r="H26" s="16"/>
      <c r="I26" s="16"/>
      <c r="J26" s="16"/>
      <c r="K26" s="16"/>
      <c r="L26" s="16"/>
      <c r="M26" s="16"/>
      <c r="N26" s="16"/>
      <c r="O26" s="16"/>
      <c r="P26" s="16"/>
      <c r="Q26" s="16"/>
    </row>
    <row r="27" spans="1:17">
      <c r="A27" s="25"/>
      <c r="B27" s="9"/>
      <c r="C27" s="9"/>
      <c r="D27" s="15"/>
      <c r="E27" s="16"/>
      <c r="F27" s="16"/>
      <c r="G27" s="16"/>
      <c r="H27" s="16"/>
      <c r="I27" s="16"/>
      <c r="J27" s="16"/>
      <c r="K27" s="16"/>
      <c r="L27" s="16"/>
      <c r="M27" s="16"/>
      <c r="N27" s="16"/>
      <c r="O27" s="16"/>
      <c r="P27" s="16"/>
      <c r="Q27" s="16"/>
    </row>
    <row r="28" spans="1:17" ht="33.6" customHeight="1">
      <c r="A28" s="94" t="s">
        <v>35</v>
      </c>
      <c r="B28" s="94"/>
      <c r="C28" s="94"/>
      <c r="D28" s="94"/>
      <c r="E28" s="94"/>
      <c r="F28" s="94"/>
      <c r="G28" s="94"/>
      <c r="H28" s="94"/>
      <c r="I28" s="94"/>
      <c r="J28" s="94"/>
      <c r="K28" s="94"/>
      <c r="L28" s="94"/>
      <c r="M28" s="94"/>
      <c r="N28" s="94"/>
      <c r="O28" s="94"/>
      <c r="P28" s="94"/>
      <c r="Q28" s="94"/>
    </row>
    <row r="29" spans="1:17" s="3" customFormat="1">
      <c r="E29" s="90" t="s">
        <v>10</v>
      </c>
      <c r="F29" s="90"/>
      <c r="G29" s="90"/>
      <c r="H29" s="90"/>
      <c r="J29" s="90" t="s">
        <v>11</v>
      </c>
      <c r="K29" s="90"/>
      <c r="L29" s="90"/>
      <c r="M29" s="90"/>
      <c r="O29" s="90" t="s">
        <v>12</v>
      </c>
      <c r="P29" s="90"/>
      <c r="Q29" s="90"/>
    </row>
    <row r="30" spans="1:17" s="3" customFormat="1" ht="28.5">
      <c r="A30" s="4" t="s">
        <v>13</v>
      </c>
      <c r="B30" s="4" t="s">
        <v>14</v>
      </c>
      <c r="C30" s="4" t="s">
        <v>15</v>
      </c>
      <c r="E30" s="5" t="s">
        <v>16</v>
      </c>
      <c r="F30" s="6" t="s">
        <v>17</v>
      </c>
      <c r="G30" s="6" t="s">
        <v>18</v>
      </c>
      <c r="H30" s="6" t="s">
        <v>17</v>
      </c>
      <c r="J30" s="5" t="s">
        <v>16</v>
      </c>
      <c r="K30" s="6" t="s">
        <v>17</v>
      </c>
      <c r="L30" s="6" t="s">
        <v>18</v>
      </c>
      <c r="M30" s="6" t="s">
        <v>17</v>
      </c>
      <c r="O30" s="5" t="s">
        <v>16</v>
      </c>
      <c r="P30" s="6" t="s">
        <v>18</v>
      </c>
      <c r="Q30" s="6" t="s">
        <v>19</v>
      </c>
    </row>
    <row r="31" spans="1:17">
      <c r="A31" s="88">
        <f>buu_wk!B10</f>
        <v>2004</v>
      </c>
      <c r="B31" s="88"/>
      <c r="C31" s="88"/>
      <c r="E31" s="8"/>
      <c r="F31" s="8"/>
      <c r="G31" s="8"/>
      <c r="H31" s="8"/>
      <c r="I31" s="8"/>
      <c r="J31" s="8"/>
      <c r="K31" s="8"/>
      <c r="L31" s="8"/>
      <c r="M31" s="8"/>
      <c r="N31" s="8"/>
      <c r="O31" s="8"/>
      <c r="P31" s="8"/>
      <c r="Q31" s="8"/>
    </row>
    <row r="32" spans="1:17">
      <c r="A32" s="2"/>
      <c r="B32" s="3" t="str">
        <f>buu_wk!C10</f>
        <v>Q1</v>
      </c>
      <c r="C32" s="3" t="s">
        <v>20</v>
      </c>
      <c r="E32" s="7">
        <f>buu_wk!D10</f>
        <v>19.5239346</v>
      </c>
      <c r="F32" s="8">
        <f>E32/O32</f>
        <v>0.70848276491711737</v>
      </c>
      <c r="G32" s="7">
        <f>buu_wk!E10</f>
        <v>17.26726275</v>
      </c>
      <c r="H32" s="8">
        <f>G32/P32</f>
        <v>0.68247918686353248</v>
      </c>
      <c r="J32" s="7">
        <f>buu_wk!F10</f>
        <v>8.0334536199999995</v>
      </c>
      <c r="K32" s="8">
        <f>J32/O32</f>
        <v>0.29151723508288258</v>
      </c>
      <c r="L32" s="7">
        <f>buu_wk!G10</f>
        <v>8.0335274900000009</v>
      </c>
      <c r="M32" s="8">
        <f>L32/P32</f>
        <v>0.31752081313646752</v>
      </c>
      <c r="O32" s="7">
        <f>E32+J32</f>
        <v>27.55738822</v>
      </c>
      <c r="P32" s="7">
        <f>G32+L32</f>
        <v>25.300790240000001</v>
      </c>
      <c r="Q32" s="8">
        <f>P32/O32</f>
        <v>0.91811277752503939</v>
      </c>
    </row>
    <row r="33" spans="1:17">
      <c r="B33" s="3" t="str">
        <f>buu_wk!C11</f>
        <v>Q2</v>
      </c>
      <c r="C33" s="3" t="s">
        <v>20</v>
      </c>
      <c r="E33" s="7">
        <f>buu_wk!D11</f>
        <v>20.646469679999999</v>
      </c>
      <c r="F33" s="8">
        <f>E33/O33</f>
        <v>0.71041893695224023</v>
      </c>
      <c r="G33" s="7">
        <f>buu_wk!E11</f>
        <v>18.41678782</v>
      </c>
      <c r="H33" s="8">
        <f>G33/P33</f>
        <v>0.68627538372247188</v>
      </c>
      <c r="J33" s="7">
        <f>buu_wk!F11</f>
        <v>8.41591676</v>
      </c>
      <c r="K33" s="8">
        <f>J33/O33</f>
        <v>0.28958106304775982</v>
      </c>
      <c r="L33" s="7">
        <f>buu_wk!G11</f>
        <v>8.4190688300000005</v>
      </c>
      <c r="M33" s="8">
        <f>L33/P33</f>
        <v>0.31372461627752807</v>
      </c>
      <c r="O33" s="7">
        <f>E33+J33</f>
        <v>29.062386439999997</v>
      </c>
      <c r="P33" s="7">
        <f>G33+L33</f>
        <v>26.83585665</v>
      </c>
      <c r="Q33" s="8">
        <f>P33/O33</f>
        <v>0.92338792292240968</v>
      </c>
    </row>
    <row r="34" spans="1:17">
      <c r="B34" s="3" t="str">
        <f>buu_wk!C12</f>
        <v>Q3</v>
      </c>
      <c r="C34" s="3" t="s">
        <v>20</v>
      </c>
      <c r="E34" s="7">
        <f>buu_wk!D12</f>
        <v>21.499700409999999</v>
      </c>
      <c r="F34" s="8">
        <f>E34/O34</f>
        <v>0.71222908071355306</v>
      </c>
      <c r="G34" s="7">
        <f>buu_wk!E12</f>
        <v>18.646980719999998</v>
      </c>
      <c r="H34" s="8">
        <f>G34/P34</f>
        <v>0.68210689233794819</v>
      </c>
      <c r="J34" s="7">
        <f>buu_wk!F12</f>
        <v>8.6867957499999999</v>
      </c>
      <c r="K34" s="8">
        <f>J34/O34</f>
        <v>0.28777091928644694</v>
      </c>
      <c r="L34" s="7">
        <f>buu_wk!G12</f>
        <v>8.6903485600000003</v>
      </c>
      <c r="M34" s="8">
        <f>L34/P34</f>
        <v>0.31789310766205181</v>
      </c>
      <c r="O34" s="7">
        <f>E34+J34</f>
        <v>30.186496159999997</v>
      </c>
      <c r="P34" s="7">
        <f>G34+L34</f>
        <v>27.337329279999999</v>
      </c>
      <c r="Q34" s="8">
        <f>P34/O34</f>
        <v>0.90561452164244827</v>
      </c>
    </row>
    <row r="35" spans="1:17">
      <c r="B35" s="3" t="str">
        <f>buu_wk!C13</f>
        <v>Q4</v>
      </c>
      <c r="C35" s="3" t="s">
        <v>20</v>
      </c>
      <c r="E35" s="7">
        <f>buu_wk!D13</f>
        <v>22.01131307</v>
      </c>
      <c r="F35" s="8">
        <f>E35/O35</f>
        <v>0.71154484187209677</v>
      </c>
      <c r="G35" s="7">
        <f>buu_wk!E13</f>
        <v>18.76600204</v>
      </c>
      <c r="H35" s="8">
        <f>G35/P35</f>
        <v>0.67769475692891756</v>
      </c>
      <c r="J35" s="7">
        <f>buu_wk!F13</f>
        <v>8.9232279099999996</v>
      </c>
      <c r="K35" s="8">
        <f>J35/O35</f>
        <v>0.28845515812790312</v>
      </c>
      <c r="L35" s="7">
        <f>buu_wk!G13</f>
        <v>8.9249338100000006</v>
      </c>
      <c r="M35" s="8">
        <f>L35/P35</f>
        <v>0.32230524307108238</v>
      </c>
      <c r="O35" s="7">
        <f>E35+J35</f>
        <v>30.934540980000001</v>
      </c>
      <c r="P35" s="7">
        <f>G35+L35</f>
        <v>27.690935850000002</v>
      </c>
      <c r="Q35" s="8">
        <f>P35/O35</f>
        <v>0.89514616906398981</v>
      </c>
    </row>
    <row r="36" spans="1:17">
      <c r="A36" s="4"/>
      <c r="B36" s="4" t="s">
        <v>21</v>
      </c>
      <c r="C36" s="4" t="s">
        <v>20</v>
      </c>
      <c r="D36" s="11"/>
      <c r="E36" s="12">
        <f>SUM(E32:E35)</f>
        <v>83.681417760000002</v>
      </c>
      <c r="F36" s="13">
        <f>E36/O36</f>
        <v>0.71072567345760407</v>
      </c>
      <c r="G36" s="12">
        <f>SUM(G32:G35)</f>
        <v>73.097033330000002</v>
      </c>
      <c r="H36" s="13">
        <f>G36/P36</f>
        <v>0.68209857081166669</v>
      </c>
      <c r="I36" s="12"/>
      <c r="J36" s="12">
        <f>SUM(J32:J35)</f>
        <v>34.059394040000001</v>
      </c>
      <c r="K36" s="13">
        <f>J36/O36</f>
        <v>0.2892743265423961</v>
      </c>
      <c r="L36" s="12">
        <f>SUM(L32:L35)</f>
        <v>34.067878690000001</v>
      </c>
      <c r="M36" s="13">
        <f>L36/P36</f>
        <v>0.31790142918833331</v>
      </c>
      <c r="N36" s="12"/>
      <c r="O36" s="12">
        <f>SUM(O32:O35)</f>
        <v>117.74081179999999</v>
      </c>
      <c r="P36" s="12">
        <f>SUM(P32:P35)</f>
        <v>107.16491202</v>
      </c>
      <c r="Q36" s="13">
        <f>P36/O36</f>
        <v>0.9101764322980489</v>
      </c>
    </row>
    <row r="37" spans="1:17">
      <c r="A37" s="88">
        <f>buu_wk!B14</f>
        <v>2005</v>
      </c>
      <c r="B37" s="88"/>
      <c r="C37" s="88"/>
      <c r="E37" s="7"/>
      <c r="F37" s="8"/>
      <c r="G37" s="7"/>
      <c r="H37" s="8"/>
      <c r="J37" s="7"/>
      <c r="K37" s="8"/>
      <c r="L37" s="7"/>
      <c r="M37" s="8"/>
      <c r="O37" s="7"/>
      <c r="P37" s="7"/>
      <c r="Q37" s="8"/>
    </row>
    <row r="38" spans="1:17">
      <c r="A38" s="2"/>
      <c r="B38" s="3" t="str">
        <f>buu_wk!C14</f>
        <v>Q1</v>
      </c>
      <c r="C38" s="3" t="s">
        <v>20</v>
      </c>
      <c r="E38" s="7">
        <f>buu_wk!D14</f>
        <v>19.30926813</v>
      </c>
      <c r="F38" s="8">
        <f>E38/O38</f>
        <v>0.64286466404525311</v>
      </c>
      <c r="G38" s="7">
        <f>buu_wk!E14</f>
        <v>15.785907549999999</v>
      </c>
      <c r="H38" s="8">
        <f>G38/P38</f>
        <v>0.59529492150332453</v>
      </c>
      <c r="J38" s="7">
        <f>buu_wk!F14</f>
        <v>10.72701977</v>
      </c>
      <c r="K38" s="8">
        <f>J38/O38</f>
        <v>0.35713533595474695</v>
      </c>
      <c r="L38" s="7">
        <f>buu_wk!G14</f>
        <v>10.73188553</v>
      </c>
      <c r="M38" s="8">
        <f>L38/P38</f>
        <v>0.40470507849667559</v>
      </c>
      <c r="O38" s="7">
        <f>E38+J38</f>
        <v>30.036287899999998</v>
      </c>
      <c r="P38" s="7">
        <f>G38+L38</f>
        <v>26.517793079999997</v>
      </c>
      <c r="Q38" s="8">
        <f>P38/O38</f>
        <v>0.88285853326102925</v>
      </c>
    </row>
    <row r="39" spans="1:17">
      <c r="C39" s="3" t="s">
        <v>22</v>
      </c>
      <c r="E39" s="8">
        <f>E38/E32-1</f>
        <v>-1.0995041440058917E-2</v>
      </c>
      <c r="F39" s="8">
        <f>F38/F32-1</f>
        <v>-9.2617780023965257E-2</v>
      </c>
      <c r="G39" s="8">
        <f>G38/G32-1</f>
        <v>-8.578981054770829E-2</v>
      </c>
      <c r="H39" s="8">
        <f>H38/H32-1</f>
        <v>-0.12774640903099244</v>
      </c>
      <c r="I39" s="7"/>
      <c r="J39" s="8">
        <f>J38/J32-1</f>
        <v>0.33529367037037816</v>
      </c>
      <c r="K39" s="8">
        <f>K38/K32-1</f>
        <v>0.22509166860480212</v>
      </c>
      <c r="L39" s="8">
        <f>L38/L32-1</f>
        <v>0.33588707368697857</v>
      </c>
      <c r="M39" s="8">
        <f>M38/M32-1</f>
        <v>0.27457811190076886</v>
      </c>
      <c r="N39" s="7"/>
      <c r="O39" s="8">
        <f>O38/O32-1</f>
        <v>8.9954086367332708E-2</v>
      </c>
      <c r="P39" s="8">
        <f>P38/P32-1</f>
        <v>4.8101376615341529E-2</v>
      </c>
      <c r="Q39" s="8">
        <f>Q38/Q32-1</f>
        <v>-3.8398598872619094E-2</v>
      </c>
    </row>
    <row r="40" spans="1:17">
      <c r="B40" s="3" t="str">
        <f>buu_wk!C15</f>
        <v>Q2</v>
      </c>
      <c r="C40" s="3" t="s">
        <v>20</v>
      </c>
      <c r="E40" s="7">
        <f>buu_wk!D15</f>
        <v>20.21113785</v>
      </c>
      <c r="F40" s="8">
        <f>E40/O40</f>
        <v>0.6423949221647729</v>
      </c>
      <c r="G40" s="7">
        <f>buu_wk!E15</f>
        <v>17.080125469999999</v>
      </c>
      <c r="H40" s="8">
        <f>G40/P40</f>
        <v>0.60271096546829173</v>
      </c>
      <c r="J40" s="7">
        <f>buu_wk!F15</f>
        <v>11.251031530000001</v>
      </c>
      <c r="K40" s="8">
        <f>J40/O40</f>
        <v>0.35760507783522716</v>
      </c>
      <c r="L40" s="7">
        <f>buu_wk!G15</f>
        <v>11.25870765</v>
      </c>
      <c r="M40" s="8">
        <f>L40/P40</f>
        <v>0.39728903453170838</v>
      </c>
      <c r="O40" s="7">
        <f>E40+J40</f>
        <v>31.462169379999999</v>
      </c>
      <c r="P40" s="7">
        <f>G40+L40</f>
        <v>28.338833119999997</v>
      </c>
      <c r="Q40" s="8">
        <f>P40/O40</f>
        <v>0.90072724413004213</v>
      </c>
    </row>
    <row r="41" spans="1:17">
      <c r="C41" s="3" t="s">
        <v>22</v>
      </c>
      <c r="E41" s="8">
        <f>E40/E33-1</f>
        <v>-2.1085049247993259E-2</v>
      </c>
      <c r="F41" s="8">
        <f>F40/F34-1</f>
        <v>-9.8050136451626191E-2</v>
      </c>
      <c r="G41" s="8">
        <f>G40/G34-1</f>
        <v>-8.402728964692141E-2</v>
      </c>
      <c r="H41" s="8">
        <f>H40/H34-1</f>
        <v>-0.11639807156547533</v>
      </c>
      <c r="I41" s="7"/>
      <c r="J41" s="8">
        <f>J40/J34-1</f>
        <v>0.29518776011281278</v>
      </c>
      <c r="K41" s="8">
        <f>K40/K34-1</f>
        <v>0.24267274372942227</v>
      </c>
      <c r="L41" s="8">
        <f>L40/L34-1</f>
        <v>0.29554155075225186</v>
      </c>
      <c r="M41" s="8">
        <f>M40/M34-1</f>
        <v>0.24975667907232957</v>
      </c>
      <c r="N41" s="7"/>
      <c r="O41" s="8">
        <f>O40/O34-1</f>
        <v>4.2259731412299217E-2</v>
      </c>
      <c r="P41" s="8">
        <f>P40/P34-1</f>
        <v>3.6635028599253161E-2</v>
      </c>
      <c r="Q41" s="8">
        <f>Q40/Q34-1</f>
        <v>-5.3966421646401974E-3</v>
      </c>
    </row>
    <row r="42" spans="1:17">
      <c r="B42" s="3" t="str">
        <f>buu_wk!C16</f>
        <v>Q3</v>
      </c>
      <c r="C42" s="3" t="s">
        <v>20</v>
      </c>
      <c r="E42" s="7">
        <f>buu_wk!D16</f>
        <v>19.681014130000001</v>
      </c>
      <c r="F42" s="8">
        <f>E42/O42</f>
        <v>0.63889210241874206</v>
      </c>
      <c r="G42" s="7">
        <f>buu_wk!E16</f>
        <v>16.727077749999999</v>
      </c>
      <c r="H42" s="8">
        <f>G42/P42</f>
        <v>0.60043510354277185</v>
      </c>
      <c r="J42" s="7">
        <f>buu_wk!F16</f>
        <v>11.123896520000001</v>
      </c>
      <c r="K42" s="8">
        <f>J42/O42</f>
        <v>0.36110789758125783</v>
      </c>
      <c r="L42" s="7">
        <f>buu_wk!G16</f>
        <v>11.131183119999999</v>
      </c>
      <c r="M42" s="8">
        <f>L42/P42</f>
        <v>0.39956489645722815</v>
      </c>
      <c r="O42" s="7">
        <f>E42+J42</f>
        <v>30.804910650000004</v>
      </c>
      <c r="P42" s="7">
        <f>G42+L42</f>
        <v>27.858260869999999</v>
      </c>
      <c r="Q42" s="8">
        <f>P42/O42</f>
        <v>0.90434480354514502</v>
      </c>
    </row>
    <row r="43" spans="1:17">
      <c r="C43" s="3" t="s">
        <v>22</v>
      </c>
      <c r="E43" s="8">
        <f>E42/E34-1</f>
        <v>-8.4591238264607904E-2</v>
      </c>
      <c r="F43" s="8">
        <f>F42/F36-1</f>
        <v>-0.10107074180871978</v>
      </c>
      <c r="G43" s="8">
        <f>G42/G36-1</f>
        <v>-0.77116612004642082</v>
      </c>
      <c r="H43" s="8">
        <f>H42/H36-1</f>
        <v>-0.11972385042783329</v>
      </c>
      <c r="I43" s="7"/>
      <c r="J43" s="8">
        <f>J42/J36-1</f>
        <v>-0.6733971101501135</v>
      </c>
      <c r="K43" s="8">
        <f>K42/K36-1</f>
        <v>0.24832335415819839</v>
      </c>
      <c r="L43" s="8">
        <f>L42/L36-1</f>
        <v>-0.67326456627112052</v>
      </c>
      <c r="M43" s="8">
        <f>M42/M36-1</f>
        <v>0.25688298249365604</v>
      </c>
      <c r="N43" s="7"/>
      <c r="O43" s="8">
        <f>O42/O36-1</f>
        <v>-0.73836675508636151</v>
      </c>
      <c r="P43" s="8">
        <f>P42/P36-1</f>
        <v>-0.74004307618149445</v>
      </c>
      <c r="Q43" s="8">
        <f>Q42/Q36-1</f>
        <v>-6.4071410179012966E-3</v>
      </c>
    </row>
    <row r="44" spans="1:17">
      <c r="B44" s="3" t="str">
        <f>buu_wk!C17</f>
        <v>Q4</v>
      </c>
      <c r="C44" s="3" t="s">
        <v>20</v>
      </c>
      <c r="E44" s="7">
        <f>buu_wk!D17</f>
        <v>19.775188870000001</v>
      </c>
      <c r="F44" s="8">
        <f>E44/O44</f>
        <v>0.64577486288307573</v>
      </c>
      <c r="G44" s="7">
        <f>buu_wk!E17</f>
        <v>17.599001350000002</v>
      </c>
      <c r="H44" s="8">
        <f>G44/P44</f>
        <v>0.61842936268823057</v>
      </c>
      <c r="J44" s="7">
        <f>buu_wk!F17</f>
        <v>10.847230809999999</v>
      </c>
      <c r="K44" s="8">
        <f>J44/O44</f>
        <v>0.35422513711692422</v>
      </c>
      <c r="L44" s="7">
        <f>buu_wk!G17</f>
        <v>10.85857588</v>
      </c>
      <c r="M44" s="8">
        <f>L44/P44</f>
        <v>0.38157063731176949</v>
      </c>
      <c r="O44" s="7">
        <f>E44+J44</f>
        <v>30.62241968</v>
      </c>
      <c r="P44" s="7">
        <f>G44+L44</f>
        <v>28.457577230000002</v>
      </c>
      <c r="Q44" s="8">
        <f>P44/O44</f>
        <v>0.92930531053318777</v>
      </c>
    </row>
    <row r="45" spans="1:17">
      <c r="B45" s="4"/>
      <c r="C45" s="4" t="s">
        <v>22</v>
      </c>
      <c r="D45" s="11"/>
      <c r="E45" s="13">
        <f>E44/E35-1</f>
        <v>-0.10158976853805657</v>
      </c>
      <c r="F45" s="13">
        <f>F44/F38-1</f>
        <v>4.526923006640482E-3</v>
      </c>
      <c r="G45" s="13">
        <f>G44/G38-1</f>
        <v>0.11485521464364612</v>
      </c>
      <c r="H45" s="13">
        <f>H44/H38-1</f>
        <v>3.8862151093921105E-2</v>
      </c>
      <c r="I45" s="12"/>
      <c r="J45" s="13">
        <f>J44/J38-1</f>
        <v>1.1206378153249208E-2</v>
      </c>
      <c r="K45" s="13">
        <f>K44/K38-1</f>
        <v>-8.1487283526362475E-3</v>
      </c>
      <c r="L45" s="13">
        <f>L44/L38-1</f>
        <v>1.1805041122163518E-2</v>
      </c>
      <c r="M45" s="13">
        <f>M44/M38-1</f>
        <v>-5.7163703679829481E-2</v>
      </c>
      <c r="N45" s="12"/>
      <c r="O45" s="13">
        <f>O44/O38-1</f>
        <v>1.9514121783338112E-2</v>
      </c>
      <c r="P45" s="13">
        <f>P44/P38-1</f>
        <v>7.3150286079538551E-2</v>
      </c>
      <c r="Q45" s="13">
        <f>Q44/Q38-1</f>
        <v>5.2609535415144348E-2</v>
      </c>
    </row>
    <row r="46" spans="1:17">
      <c r="B46" s="3" t="s">
        <v>21</v>
      </c>
      <c r="C46" s="3" t="s">
        <v>20</v>
      </c>
      <c r="E46" s="7">
        <f>E42+E40+E38+E44</f>
        <v>78.976608980000009</v>
      </c>
      <c r="F46" s="8">
        <f>E46/O46</f>
        <v>0.64247389026755575</v>
      </c>
      <c r="G46" s="7">
        <f>G42+G40+G38+G44</f>
        <v>67.19211211999999</v>
      </c>
      <c r="H46" s="8">
        <f>G46/P46</f>
        <v>0.60439527488282896</v>
      </c>
      <c r="I46" s="7"/>
      <c r="J46" s="7">
        <f>J42+J40+J38+J44</f>
        <v>43.949178629999999</v>
      </c>
      <c r="K46" s="8">
        <f>J46/O46</f>
        <v>0.35752610973244425</v>
      </c>
      <c r="L46" s="7">
        <f>L42+L40+L38+L44</f>
        <v>43.980352179999997</v>
      </c>
      <c r="M46" s="8">
        <f>L46/P46</f>
        <v>0.39560472511717093</v>
      </c>
      <c r="N46" s="7"/>
      <c r="O46" s="7">
        <f>O42+O40+O38+O44</f>
        <v>122.92578761000001</v>
      </c>
      <c r="P46" s="7">
        <f>P42+P40+P38+P44</f>
        <v>111.1724643</v>
      </c>
      <c r="Q46" s="8">
        <f>P46/O46</f>
        <v>0.90438683746904969</v>
      </c>
    </row>
    <row r="47" spans="1:17">
      <c r="A47" s="4"/>
      <c r="B47" s="4"/>
      <c r="C47" s="4" t="s">
        <v>22</v>
      </c>
      <c r="D47" s="11"/>
      <c r="E47" s="13">
        <f>E46/(E34+E33+E32)-1</f>
        <v>0.28063036988497791</v>
      </c>
      <c r="F47" s="13"/>
      <c r="G47" s="13">
        <f>G46/(G34+G33+G32)-1</f>
        <v>0.23671703858062343</v>
      </c>
      <c r="H47" s="13"/>
      <c r="I47" s="13"/>
      <c r="J47" s="13">
        <f>J46/(J34+J33+J32)-1</f>
        <v>0.74844399112825255</v>
      </c>
      <c r="K47" s="13"/>
      <c r="L47" s="13">
        <f>L46/(L34+L33+L32)-1</f>
        <v>0.74921244865728687</v>
      </c>
      <c r="M47" s="13"/>
      <c r="N47" s="13"/>
      <c r="O47" s="13">
        <f>O46/(O34+O33+O32)-1</f>
        <v>0.41609340487505597</v>
      </c>
      <c r="P47" s="13">
        <f>P46/(P34+P33+P32)-1</f>
        <v>0.39885368340190852</v>
      </c>
      <c r="Q47" s="13"/>
    </row>
    <row r="48" spans="1:17">
      <c r="A48" s="24" t="s">
        <v>36</v>
      </c>
      <c r="E48" s="7"/>
      <c r="F48" s="8"/>
      <c r="G48" s="7"/>
      <c r="H48" s="8"/>
      <c r="J48" s="7"/>
      <c r="K48" s="8"/>
      <c r="L48" s="7"/>
      <c r="M48" s="8"/>
      <c r="O48" s="7"/>
      <c r="P48" s="7"/>
      <c r="Q48" s="8"/>
    </row>
    <row r="49" spans="1:17">
      <c r="A49" s="25" t="s">
        <v>37</v>
      </c>
      <c r="E49" s="7"/>
      <c r="F49" s="8"/>
      <c r="G49" s="7"/>
      <c r="H49" s="8"/>
      <c r="J49" s="7"/>
      <c r="K49" s="8"/>
      <c r="L49" s="7"/>
      <c r="M49" s="8"/>
      <c r="O49" s="7"/>
      <c r="P49" s="7"/>
      <c r="Q49" s="8"/>
    </row>
    <row r="50" spans="1:17">
      <c r="A50" s="25" t="s">
        <v>38</v>
      </c>
      <c r="E50" s="7"/>
      <c r="F50" s="8"/>
      <c r="G50" s="7"/>
      <c r="H50" s="8"/>
      <c r="J50" s="7"/>
      <c r="K50" s="8"/>
      <c r="L50" s="7"/>
      <c r="M50" s="8"/>
      <c r="O50" s="7"/>
      <c r="P50" s="7"/>
      <c r="Q50" s="8"/>
    </row>
    <row r="51" spans="1:17">
      <c r="A51" s="26" t="s">
        <v>39</v>
      </c>
      <c r="E51" s="7"/>
      <c r="F51" s="8"/>
      <c r="G51" s="7"/>
      <c r="H51" s="8"/>
      <c r="J51" s="7"/>
      <c r="K51" s="8"/>
      <c r="L51" s="7"/>
      <c r="M51" s="8"/>
      <c r="O51" s="7"/>
      <c r="P51" s="7"/>
      <c r="Q51" s="8"/>
    </row>
    <row r="52" spans="1:17">
      <c r="A52" s="26" t="s">
        <v>40</v>
      </c>
      <c r="E52" s="7"/>
      <c r="F52" s="8"/>
      <c r="G52" s="7"/>
      <c r="H52" s="8"/>
      <c r="J52" s="7"/>
      <c r="K52" s="8"/>
      <c r="L52" s="7"/>
      <c r="M52" s="8"/>
      <c r="O52" s="7"/>
      <c r="P52" s="7"/>
      <c r="Q52" s="8"/>
    </row>
    <row r="53" spans="1:17">
      <c r="A53" s="26" t="s">
        <v>41</v>
      </c>
      <c r="E53" s="7"/>
      <c r="F53" s="8"/>
      <c r="G53" s="7"/>
      <c r="H53" s="8"/>
      <c r="J53" s="7"/>
      <c r="K53" s="8"/>
      <c r="L53" s="7"/>
      <c r="M53" s="8"/>
      <c r="O53" s="7"/>
      <c r="P53" s="7"/>
      <c r="Q53" s="8"/>
    </row>
    <row r="54" spans="1:17" ht="35.450000000000003" customHeight="1">
      <c r="A54" s="94" t="s">
        <v>34</v>
      </c>
      <c r="B54" s="94"/>
      <c r="C54" s="94"/>
      <c r="D54" s="94"/>
      <c r="E54" s="94"/>
      <c r="F54" s="94"/>
      <c r="G54" s="94"/>
      <c r="H54" s="94"/>
      <c r="I54" s="94"/>
      <c r="J54" s="94"/>
      <c r="K54" s="94"/>
      <c r="L54" s="94"/>
      <c r="M54" s="94"/>
      <c r="N54" s="94"/>
      <c r="O54" s="94"/>
      <c r="P54" s="94"/>
      <c r="Q54" s="94"/>
    </row>
    <row r="55" spans="1:17" s="3" customFormat="1">
      <c r="E55" s="90" t="s">
        <v>10</v>
      </c>
      <c r="F55" s="90"/>
      <c r="G55" s="90"/>
      <c r="H55" s="90"/>
      <c r="J55" s="90" t="s">
        <v>11</v>
      </c>
      <c r="K55" s="90"/>
      <c r="L55" s="90"/>
      <c r="M55" s="90"/>
      <c r="O55" s="90" t="s">
        <v>12</v>
      </c>
      <c r="P55" s="90"/>
      <c r="Q55" s="90"/>
    </row>
    <row r="56" spans="1:17" s="3" customFormat="1" ht="28.5">
      <c r="A56" s="4" t="s">
        <v>13</v>
      </c>
      <c r="B56" s="4" t="s">
        <v>14</v>
      </c>
      <c r="C56" s="4" t="s">
        <v>15</v>
      </c>
      <c r="E56" s="5" t="s">
        <v>16</v>
      </c>
      <c r="F56" s="6" t="s">
        <v>17</v>
      </c>
      <c r="G56" s="6" t="s">
        <v>18</v>
      </c>
      <c r="H56" s="6" t="s">
        <v>17</v>
      </c>
      <c r="J56" s="5" t="s">
        <v>16</v>
      </c>
      <c r="K56" s="6" t="s">
        <v>17</v>
      </c>
      <c r="L56" s="6" t="s">
        <v>18</v>
      </c>
      <c r="M56" s="6" t="s">
        <v>17</v>
      </c>
      <c r="O56" s="5" t="s">
        <v>16</v>
      </c>
      <c r="P56" s="6" t="s">
        <v>18</v>
      </c>
      <c r="Q56" s="6" t="s">
        <v>19</v>
      </c>
    </row>
    <row r="57" spans="1:17">
      <c r="A57" s="88">
        <f>buu_wk!B18</f>
        <v>2004</v>
      </c>
      <c r="B57" s="88"/>
      <c r="C57" s="88"/>
      <c r="E57" s="7"/>
      <c r="F57" s="8"/>
      <c r="G57" s="7"/>
      <c r="H57" s="8"/>
      <c r="J57" s="7"/>
      <c r="K57" s="8"/>
      <c r="L57" s="7"/>
      <c r="M57" s="8"/>
      <c r="O57" s="7"/>
      <c r="P57" s="7"/>
      <c r="Q57" s="8"/>
    </row>
    <row r="58" spans="1:17">
      <c r="B58" s="3" t="str">
        <f>buu_wk!C18</f>
        <v>Q1</v>
      </c>
      <c r="C58" s="3" t="s">
        <v>20</v>
      </c>
      <c r="E58" s="7">
        <f>buu_wk!D18</f>
        <v>124.43031643</v>
      </c>
      <c r="F58" s="8">
        <f t="shared" ref="F58:F63" si="1">E58/O58</f>
        <v>0.7321327096788941</v>
      </c>
      <c r="G58" s="7">
        <f>buu_wk!E18</f>
        <v>110.78843276000001</v>
      </c>
      <c r="H58" s="8">
        <f t="shared" ref="H58:H63" si="2">G58/P58</f>
        <v>0.70875259213142594</v>
      </c>
      <c r="J58" s="7">
        <f>buu_wk!F18</f>
        <v>45.525642079999997</v>
      </c>
      <c r="K58" s="8">
        <f t="shared" ref="K58:K63" si="3">J58/O58</f>
        <v>0.26786729032110584</v>
      </c>
      <c r="L58" s="7">
        <f>buu_wk!G18</f>
        <v>45.526244589999997</v>
      </c>
      <c r="M58" s="8">
        <f t="shared" ref="M58:M63" si="4">L58/P58</f>
        <v>0.291247407868574</v>
      </c>
      <c r="O58" s="7">
        <f>E58+J58</f>
        <v>169.95595851000002</v>
      </c>
      <c r="P58" s="7">
        <f>G58+L58</f>
        <v>156.31467735000001</v>
      </c>
      <c r="Q58" s="8">
        <f t="shared" ref="Q58:Q63" si="5">P58/O58</f>
        <v>0.91973637594355151</v>
      </c>
    </row>
    <row r="59" spans="1:17">
      <c r="B59" s="3" t="str">
        <f>buu_wk!C19</f>
        <v>Q2</v>
      </c>
      <c r="C59" s="3" t="s">
        <v>20</v>
      </c>
      <c r="E59" s="7">
        <f>buu_wk!D19</f>
        <v>130.46335065</v>
      </c>
      <c r="F59" s="8">
        <f t="shared" si="1"/>
        <v>0.73770927687099963</v>
      </c>
      <c r="G59" s="7">
        <f>buu_wk!E19</f>
        <v>114.41500173999999</v>
      </c>
      <c r="H59" s="8">
        <f t="shared" si="2"/>
        <v>0.71152070507658471</v>
      </c>
      <c r="J59" s="7">
        <f>buu_wk!F19</f>
        <v>46.385924180000004</v>
      </c>
      <c r="K59" s="8">
        <f t="shared" si="3"/>
        <v>0.26229072312900026</v>
      </c>
      <c r="L59" s="7">
        <f>buu_wk!G19</f>
        <v>46.388473019999999</v>
      </c>
      <c r="M59" s="8">
        <f t="shared" si="4"/>
        <v>0.28847929492341523</v>
      </c>
      <c r="O59" s="7">
        <f>E59+J59</f>
        <v>176.84927483000001</v>
      </c>
      <c r="P59" s="7">
        <f>G59+L59</f>
        <v>160.80347476</v>
      </c>
      <c r="Q59" s="8">
        <f t="shared" si="5"/>
        <v>0.90926849948678401</v>
      </c>
    </row>
    <row r="60" spans="1:17">
      <c r="B60" s="3" t="str">
        <f>buu_wk!C20</f>
        <v>Q3</v>
      </c>
      <c r="C60" s="3" t="s">
        <v>20</v>
      </c>
      <c r="E60" s="7">
        <f>buu_wk!D20</f>
        <v>136.25138709000001</v>
      </c>
      <c r="F60" s="8">
        <f t="shared" si="1"/>
        <v>0.74025786849765873</v>
      </c>
      <c r="G60" s="7">
        <f>buu_wk!E20</f>
        <v>116.27455209999999</v>
      </c>
      <c r="H60" s="8">
        <f t="shared" si="2"/>
        <v>0.70859178023838165</v>
      </c>
      <c r="J60" s="7">
        <f>buu_wk!F20</f>
        <v>47.807969640000003</v>
      </c>
      <c r="K60" s="8">
        <f t="shared" si="3"/>
        <v>0.25974213150234127</v>
      </c>
      <c r="L60" s="7">
        <f>buu_wk!G20</f>
        <v>47.817884960000001</v>
      </c>
      <c r="M60" s="8">
        <f t="shared" si="4"/>
        <v>0.29140821976161829</v>
      </c>
      <c r="O60" s="7">
        <f>E60+J60</f>
        <v>184.05935673000002</v>
      </c>
      <c r="P60" s="7">
        <f>G60+L60</f>
        <v>164.09243706000001</v>
      </c>
      <c r="Q60" s="8">
        <f t="shared" si="5"/>
        <v>0.89151912717325288</v>
      </c>
    </row>
    <row r="61" spans="1:17">
      <c r="B61" s="3" t="str">
        <f>buu_wk!C21</f>
        <v>Q4</v>
      </c>
      <c r="C61" s="3" t="s">
        <v>20</v>
      </c>
      <c r="E61" s="7">
        <f>buu_wk!D21</f>
        <v>139.26876419999999</v>
      </c>
      <c r="F61" s="8">
        <f t="shared" si="1"/>
        <v>0.73729048328242985</v>
      </c>
      <c r="G61" s="7">
        <f>buu_wk!E21</f>
        <v>117.68625659</v>
      </c>
      <c r="H61" s="8">
        <f t="shared" si="2"/>
        <v>0.70336014183658857</v>
      </c>
      <c r="J61" s="7">
        <f>buu_wk!F21</f>
        <v>49.623900710000001</v>
      </c>
      <c r="K61" s="8">
        <f t="shared" si="3"/>
        <v>0.26270951671757004</v>
      </c>
      <c r="L61" s="7">
        <f>buu_wk!G21</f>
        <v>49.633796949999997</v>
      </c>
      <c r="M61" s="8">
        <f t="shared" si="4"/>
        <v>0.29663985816341137</v>
      </c>
      <c r="O61" s="7">
        <f>E61+J61</f>
        <v>188.89266491000001</v>
      </c>
      <c r="P61" s="7">
        <f>G61+L61</f>
        <v>167.32005354</v>
      </c>
      <c r="Q61" s="8">
        <f t="shared" si="5"/>
        <v>0.8857943405040184</v>
      </c>
    </row>
    <row r="62" spans="1:17">
      <c r="A62" s="4"/>
      <c r="B62" s="4" t="s">
        <v>21</v>
      </c>
      <c r="C62" s="4" t="s">
        <v>20</v>
      </c>
      <c r="D62" s="11"/>
      <c r="E62" s="12">
        <f>SUM(E58:E61)</f>
        <v>530.41381836999994</v>
      </c>
      <c r="F62" s="13">
        <f t="shared" si="1"/>
        <v>0.73693431320082847</v>
      </c>
      <c r="G62" s="12">
        <f>SUM(G58:G61)</f>
        <v>459.16424318999998</v>
      </c>
      <c r="H62" s="13">
        <f t="shared" si="2"/>
        <v>0.70800701300913249</v>
      </c>
      <c r="I62" s="12"/>
      <c r="J62" s="12">
        <f>SUM(J58:J61)</f>
        <v>189.34343661000003</v>
      </c>
      <c r="K62" s="13">
        <f t="shared" si="3"/>
        <v>0.26306568679917136</v>
      </c>
      <c r="L62" s="12">
        <f>SUM(L58:L61)</f>
        <v>189.36639951999999</v>
      </c>
      <c r="M62" s="13">
        <f t="shared" si="4"/>
        <v>0.29199298699086756</v>
      </c>
      <c r="N62" s="12"/>
      <c r="O62" s="12">
        <f>SUM(O58:O61)</f>
        <v>719.75725498000008</v>
      </c>
      <c r="P62" s="12">
        <f>SUM(P58:P61)</f>
        <v>648.53064270999994</v>
      </c>
      <c r="Q62" s="13">
        <f t="shared" si="5"/>
        <v>0.90104078593555914</v>
      </c>
    </row>
    <row r="63" spans="1:17">
      <c r="B63" s="3" t="str">
        <f>buu_wk!C22</f>
        <v>Q1</v>
      </c>
      <c r="C63" s="3" t="s">
        <v>20</v>
      </c>
      <c r="E63" s="7">
        <f>buu_wk!D22</f>
        <v>122.51363062999999</v>
      </c>
      <c r="F63" s="8">
        <f t="shared" si="1"/>
        <v>0.66679700575289147</v>
      </c>
      <c r="G63" s="7">
        <f>buu_wk!E22</f>
        <v>99.712308289999996</v>
      </c>
      <c r="H63" s="8">
        <f t="shared" si="2"/>
        <v>0.61955994062395037</v>
      </c>
      <c r="J63" s="7">
        <f>buu_wk!F22</f>
        <v>61.220893629999999</v>
      </c>
      <c r="K63" s="8">
        <f t="shared" si="3"/>
        <v>0.33320299424710853</v>
      </c>
      <c r="L63" s="7">
        <f>buu_wk!G22</f>
        <v>61.228226679999999</v>
      </c>
      <c r="M63" s="8">
        <f t="shared" si="4"/>
        <v>0.38044005937604969</v>
      </c>
      <c r="O63" s="7">
        <f>E63+J63</f>
        <v>183.73452426</v>
      </c>
      <c r="P63" s="7">
        <f>G63+L63</f>
        <v>160.94053496999999</v>
      </c>
      <c r="Q63" s="8">
        <f t="shared" si="5"/>
        <v>0.87594063020107982</v>
      </c>
    </row>
    <row r="64" spans="1:17">
      <c r="C64" s="3" t="s">
        <v>22</v>
      </c>
      <c r="E64" s="8" t="e">
        <f>E63/E57-1</f>
        <v>#DIV/0!</v>
      </c>
      <c r="F64" s="8" t="e">
        <f>F63/F57-1</f>
        <v>#DIV/0!</v>
      </c>
      <c r="G64" s="8" t="e">
        <f>G63/G57-1</f>
        <v>#DIV/0!</v>
      </c>
      <c r="H64" s="8" t="e">
        <f>H63/H57-1</f>
        <v>#DIV/0!</v>
      </c>
      <c r="I64" s="7"/>
      <c r="J64" s="8" t="e">
        <f>J63/J57-1</f>
        <v>#DIV/0!</v>
      </c>
      <c r="K64" s="8" t="e">
        <f>K63/K57-1</f>
        <v>#DIV/0!</v>
      </c>
      <c r="L64" s="8" t="e">
        <f>L63/L57-1</f>
        <v>#DIV/0!</v>
      </c>
      <c r="M64" s="8" t="e">
        <f>M63/M57-1</f>
        <v>#DIV/0!</v>
      </c>
      <c r="N64" s="7"/>
      <c r="O64" s="8" t="e">
        <f>O63/O57-1</f>
        <v>#DIV/0!</v>
      </c>
      <c r="P64" s="8" t="e">
        <f>P63/P57-1</f>
        <v>#DIV/0!</v>
      </c>
      <c r="Q64" s="8" t="e">
        <f>Q63/Q57-1</f>
        <v>#DIV/0!</v>
      </c>
    </row>
    <row r="65" spans="1:17">
      <c r="B65" s="3" t="str">
        <f>buu_wk!C23</f>
        <v>Q2</v>
      </c>
      <c r="C65" s="3" t="s">
        <v>20</v>
      </c>
      <c r="E65" s="7">
        <f>buu_wk!D23</f>
        <v>126.90562831</v>
      </c>
      <c r="F65" s="8">
        <f>E65/O65</f>
        <v>0.67266447351797498</v>
      </c>
      <c r="G65" s="7">
        <f>buu_wk!E23</f>
        <v>105.91791248</v>
      </c>
      <c r="H65" s="8">
        <f>G65/P65</f>
        <v>0.63164453631868789</v>
      </c>
      <c r="J65" s="7">
        <f>buu_wk!F23</f>
        <v>61.755484780000003</v>
      </c>
      <c r="K65" s="8">
        <f>J65/O65</f>
        <v>0.32733552648202496</v>
      </c>
      <c r="L65" s="7">
        <f>buu_wk!G23</f>
        <v>61.768034900000004</v>
      </c>
      <c r="M65" s="8">
        <f>L65/P65</f>
        <v>0.36835546368131206</v>
      </c>
      <c r="O65" s="7">
        <f>E65+J65</f>
        <v>188.66111309000001</v>
      </c>
      <c r="P65" s="7">
        <f>G65+L65</f>
        <v>167.68594738000002</v>
      </c>
      <c r="Q65" s="8">
        <f>P65/O65</f>
        <v>0.88882093735981571</v>
      </c>
    </row>
    <row r="66" spans="1:17">
      <c r="C66" s="3" t="s">
        <v>22</v>
      </c>
      <c r="E66" s="8">
        <f>E65/E58-1</f>
        <v>1.989315747977316E-2</v>
      </c>
      <c r="F66" s="8">
        <f>F65/F59-1</f>
        <v>-8.8171323571953342E-2</v>
      </c>
      <c r="G66" s="8">
        <f>G65/G59-1</f>
        <v>-7.4265517028169303E-2</v>
      </c>
      <c r="H66" s="8">
        <f>H65/H59-1</f>
        <v>-0.11226120081677637</v>
      </c>
      <c r="I66" s="7"/>
      <c r="J66" s="8">
        <f>J65/J59-1</f>
        <v>0.33134104519204177</v>
      </c>
      <c r="K66" s="8">
        <f>K65/K59-1</f>
        <v>0.24798743385611188</v>
      </c>
      <c r="L66" s="8">
        <f>L65/L59-1</f>
        <v>0.33153843786514026</v>
      </c>
      <c r="M66" s="8">
        <f>M65/M59-1</f>
        <v>0.27688700771090757</v>
      </c>
      <c r="N66" s="7"/>
      <c r="O66" s="8">
        <f>O65/O59-1</f>
        <v>6.6790425187518432E-2</v>
      </c>
      <c r="P66" s="8">
        <f>P65/P59-1</f>
        <v>4.2800521756586107E-2</v>
      </c>
      <c r="Q66" s="8">
        <f>Q65/Q59-1</f>
        <v>-2.2487925336145964E-2</v>
      </c>
    </row>
    <row r="67" spans="1:17">
      <c r="B67" s="3" t="str">
        <f>buu_wk!C24</f>
        <v>Q3</v>
      </c>
      <c r="C67" s="3" t="s">
        <v>20</v>
      </c>
      <c r="E67" s="7">
        <f>buu_wk!D24</f>
        <v>124.36834688</v>
      </c>
      <c r="F67" s="8">
        <f>E67/O67</f>
        <v>0.6706039271296419</v>
      </c>
      <c r="G67" s="7">
        <f>buu_wk!E24</f>
        <v>106.90292527</v>
      </c>
      <c r="H67" s="8">
        <f>G67/P67</f>
        <v>0.63630421041245167</v>
      </c>
      <c r="J67" s="7">
        <f>buu_wk!F24</f>
        <v>61.08888331</v>
      </c>
      <c r="K67" s="8">
        <f>J67/O67</f>
        <v>0.32939607287035799</v>
      </c>
      <c r="L67" s="7">
        <f>buu_wk!G24</f>
        <v>61.103074880000001</v>
      </c>
      <c r="M67" s="8">
        <f>L67/P67</f>
        <v>0.36369578958754822</v>
      </c>
      <c r="O67" s="7">
        <f>E67+J67</f>
        <v>185.45723019000002</v>
      </c>
      <c r="P67" s="7">
        <f>G67+L67</f>
        <v>168.00600015000001</v>
      </c>
      <c r="Q67" s="8">
        <f>P67/O67</f>
        <v>0.90590159239345203</v>
      </c>
    </row>
    <row r="68" spans="1:17">
      <c r="C68" s="3" t="s">
        <v>22</v>
      </c>
      <c r="E68" s="8">
        <f>E67/E59-1</f>
        <v>-4.6718129954758991E-2</v>
      </c>
      <c r="F68" s="8">
        <f>F67/F61-1</f>
        <v>-9.044814447610694E-2</v>
      </c>
      <c r="G68" s="8">
        <f>G67/G61-1</f>
        <v>-9.1627787580731646E-2</v>
      </c>
      <c r="H68" s="8">
        <f>H67/H61-1</f>
        <v>-9.5336552977032363E-2</v>
      </c>
      <c r="I68" s="7"/>
      <c r="J68" s="8">
        <f>J67/J61-1</f>
        <v>0.2310375128912352</v>
      </c>
      <c r="K68" s="8">
        <f>K67/K61-1</f>
        <v>0.25384141764639745</v>
      </c>
      <c r="L68" s="8">
        <f>L67/L61-1</f>
        <v>0.23107798787898304</v>
      </c>
      <c r="M68" s="8">
        <f>M67/M61-1</f>
        <v>0.22605165684510764</v>
      </c>
      <c r="N68" s="7"/>
      <c r="O68" s="8">
        <f>O67/O61-1</f>
        <v>-1.818723200097172E-2</v>
      </c>
      <c r="P68" s="8">
        <f>P67/P61-1</f>
        <v>4.0996078801518454E-3</v>
      </c>
      <c r="Q68" s="8">
        <f>Q67/Q61-1</f>
        <v>2.2699684305944601E-2</v>
      </c>
    </row>
    <row r="69" spans="1:17">
      <c r="B69" s="3" t="str">
        <f>buu_wk!C25</f>
        <v>Q4</v>
      </c>
      <c r="C69" s="3" t="s">
        <v>20</v>
      </c>
      <c r="E69" s="7">
        <f>buu_wk!D25</f>
        <v>126.25849362</v>
      </c>
      <c r="F69" s="8">
        <f>E69/O69</f>
        <v>0.67073258711067052</v>
      </c>
      <c r="G69" s="7">
        <f>buu_wk!E25</f>
        <v>108.39924492999999</v>
      </c>
      <c r="H69" s="8">
        <f>G69/P69</f>
        <v>0.63616655814043443</v>
      </c>
      <c r="J69" s="7">
        <f>buu_wk!F25</f>
        <v>61.981195409999998</v>
      </c>
      <c r="K69" s="8">
        <f>J69/O69</f>
        <v>0.32926741288932948</v>
      </c>
      <c r="L69" s="7">
        <f>buu_wk!G25</f>
        <v>61.995195870000003</v>
      </c>
      <c r="M69" s="8">
        <f>L69/P69</f>
        <v>0.36383344185956568</v>
      </c>
      <c r="O69" s="7">
        <f>E69+J69</f>
        <v>188.23968902999999</v>
      </c>
      <c r="P69" s="7">
        <f>G69+L69</f>
        <v>170.39444079999998</v>
      </c>
      <c r="Q69" s="8">
        <f>P69/O69</f>
        <v>0.90519933218145088</v>
      </c>
    </row>
    <row r="70" spans="1:17">
      <c r="B70" s="4"/>
      <c r="C70" s="4" t="s">
        <v>22</v>
      </c>
      <c r="D70" s="11"/>
      <c r="E70" s="13">
        <f>E69/E60-1</f>
        <v>-7.3341590742113105E-2</v>
      </c>
      <c r="F70" s="13">
        <f>F69/F63-1</f>
        <v>5.9022181020973452E-3</v>
      </c>
      <c r="G70" s="13">
        <f>G69/G63-1</f>
        <v>8.7120003427612946E-2</v>
      </c>
      <c r="H70" s="13">
        <f>H69/H63-1</f>
        <v>2.6803891645673206E-2</v>
      </c>
      <c r="I70" s="12"/>
      <c r="J70" s="13">
        <f>J69/J63-1</f>
        <v>1.2418991865669637E-2</v>
      </c>
      <c r="K70" s="13">
        <f>K69/K63-1</f>
        <v>-1.1811362519930868E-2</v>
      </c>
      <c r="L70" s="13">
        <f>L69/L63-1</f>
        <v>1.2526398878224043E-2</v>
      </c>
      <c r="M70" s="13">
        <f>M69/M63-1</f>
        <v>-4.3651074872925077E-2</v>
      </c>
      <c r="N70" s="12"/>
      <c r="O70" s="13">
        <f>O69/O63-1</f>
        <v>2.4519968623995858E-2</v>
      </c>
      <c r="P70" s="13">
        <f>P69/P63-1</f>
        <v>5.8741608083769936E-2</v>
      </c>
      <c r="Q70" s="13">
        <f>Q69/Q63-1</f>
        <v>3.3402608546260204E-2</v>
      </c>
    </row>
    <row r="71" spans="1:17">
      <c r="B71" s="3" t="s">
        <v>21</v>
      </c>
      <c r="C71" s="3" t="s">
        <v>20</v>
      </c>
      <c r="E71" s="7">
        <f>E67+E65+E63+E69</f>
        <v>500.04609943999992</v>
      </c>
      <c r="F71" s="8">
        <f>E71/O71</f>
        <v>0.67021992785835349</v>
      </c>
      <c r="G71" s="7">
        <f>G67+G65+G63+G69</f>
        <v>420.93239097000003</v>
      </c>
      <c r="H71" s="8">
        <f>G71/P71</f>
        <v>0.63105757244026983</v>
      </c>
      <c r="I71" s="7"/>
      <c r="J71" s="7">
        <f>J67+J65+J63+J69</f>
        <v>246.04645712999999</v>
      </c>
      <c r="K71" s="8">
        <f>J71/O71</f>
        <v>0.3297800721416464</v>
      </c>
      <c r="L71" s="7">
        <f>L67+L65+L63+L69</f>
        <v>246.09453233000002</v>
      </c>
      <c r="M71" s="8">
        <f>L71/P71</f>
        <v>0.36894242755973033</v>
      </c>
      <c r="N71" s="7"/>
      <c r="O71" s="7">
        <f>O67+O65+O63+O69</f>
        <v>746.09255657000006</v>
      </c>
      <c r="P71" s="7">
        <f>P67+P65+P63+P69</f>
        <v>667.02692329999991</v>
      </c>
      <c r="Q71" s="8">
        <f>P71/O71</f>
        <v>0.89402704453521509</v>
      </c>
    </row>
    <row r="72" spans="1:17">
      <c r="A72" s="4"/>
      <c r="B72" s="4"/>
      <c r="C72" s="4" t="s">
        <v>22</v>
      </c>
      <c r="D72" s="11"/>
      <c r="E72" s="13">
        <f>E71/(E59+E58+E57)-1</f>
        <v>0.96178314341194393</v>
      </c>
      <c r="F72" s="13"/>
      <c r="G72" s="13">
        <f>G71/(G59+G58+G57)-1</f>
        <v>0.86912065486283696</v>
      </c>
      <c r="H72" s="13"/>
      <c r="I72" s="13"/>
      <c r="J72" s="13">
        <f>J71/(J59+J58+J57)-1</f>
        <v>1.6769912334426147</v>
      </c>
      <c r="K72" s="13"/>
      <c r="L72" s="13">
        <f>L71/(L59+L58+L57)-1</f>
        <v>1.6774224926000949</v>
      </c>
      <c r="M72" s="13"/>
      <c r="N72" s="13"/>
      <c r="O72" s="13">
        <f>O71/(O59+O58+O57)-1</f>
        <v>1.1513301555012805</v>
      </c>
      <c r="P72" s="13">
        <f>P71/(P59+P58+P57)-1</f>
        <v>1.1034018988248446</v>
      </c>
      <c r="Q72" s="13"/>
    </row>
    <row r="73" spans="1:17">
      <c r="A73" s="24" t="s">
        <v>36</v>
      </c>
      <c r="B73" s="9"/>
      <c r="C73" s="9"/>
      <c r="D73" s="15"/>
      <c r="E73" s="16"/>
      <c r="F73" s="16"/>
      <c r="G73" s="16"/>
      <c r="H73" s="16"/>
      <c r="I73" s="16"/>
      <c r="J73" s="16"/>
      <c r="K73" s="16"/>
      <c r="L73" s="16"/>
      <c r="M73" s="16"/>
      <c r="N73" s="16"/>
      <c r="O73" s="16"/>
      <c r="P73" s="16"/>
      <c r="Q73" s="16"/>
    </row>
    <row r="74" spans="1:17">
      <c r="A74" s="25" t="s">
        <v>37</v>
      </c>
      <c r="B74" s="9"/>
      <c r="C74" s="9"/>
      <c r="D74" s="15"/>
      <c r="E74" s="16"/>
      <c r="F74" s="16"/>
      <c r="G74" s="16"/>
      <c r="H74" s="16"/>
      <c r="I74" s="16"/>
      <c r="J74" s="16"/>
      <c r="K74" s="16"/>
      <c r="L74" s="16"/>
      <c r="M74" s="16"/>
      <c r="N74" s="16"/>
      <c r="O74" s="16"/>
      <c r="P74" s="16"/>
      <c r="Q74" s="16"/>
    </row>
    <row r="75" spans="1:17">
      <c r="A75" s="25" t="s">
        <v>38</v>
      </c>
      <c r="B75" s="9"/>
      <c r="C75" s="9"/>
      <c r="D75" s="15"/>
      <c r="E75" s="16"/>
      <c r="F75" s="16"/>
      <c r="G75" s="16"/>
      <c r="H75" s="16"/>
      <c r="I75" s="16"/>
      <c r="J75" s="16"/>
      <c r="K75" s="16"/>
      <c r="L75" s="16"/>
      <c r="M75" s="16"/>
      <c r="N75" s="16"/>
      <c r="O75" s="16"/>
      <c r="P75" s="16"/>
      <c r="Q75" s="16"/>
    </row>
    <row r="76" spans="1:17">
      <c r="A76" s="26" t="s">
        <v>39</v>
      </c>
      <c r="B76" s="9"/>
      <c r="C76" s="9"/>
      <c r="D76" s="15"/>
      <c r="E76" s="16"/>
      <c r="F76" s="16"/>
      <c r="G76" s="16"/>
      <c r="H76" s="16"/>
      <c r="I76" s="16"/>
      <c r="J76" s="16"/>
      <c r="K76" s="16"/>
      <c r="L76" s="16"/>
      <c r="M76" s="16"/>
      <c r="N76" s="16"/>
      <c r="O76" s="16"/>
      <c r="P76" s="16"/>
      <c r="Q76" s="16"/>
    </row>
    <row r="77" spans="1:17">
      <c r="A77" s="26" t="s">
        <v>40</v>
      </c>
      <c r="E77" s="7"/>
      <c r="F77" s="8"/>
      <c r="G77" s="7"/>
      <c r="H77" s="8"/>
      <c r="J77" s="7"/>
      <c r="K77" s="8"/>
      <c r="L77" s="7"/>
      <c r="M77" s="8"/>
      <c r="O77" s="7"/>
      <c r="P77" s="7"/>
      <c r="Q77" s="8"/>
    </row>
    <row r="78" spans="1:17">
      <c r="A78" s="26" t="s">
        <v>41</v>
      </c>
      <c r="E78" s="7"/>
      <c r="F78" s="8"/>
      <c r="G78" s="7"/>
      <c r="H78" s="8"/>
      <c r="J78" s="7"/>
      <c r="K78" s="8"/>
      <c r="L78" s="7"/>
      <c r="M78" s="8"/>
      <c r="O78" s="7"/>
      <c r="P78" s="7"/>
      <c r="Q78" s="8"/>
    </row>
    <row r="79" spans="1:17">
      <c r="A79" s="26"/>
      <c r="E79" s="7"/>
      <c r="F79" s="8"/>
      <c r="G79" s="7"/>
      <c r="H79" s="8"/>
      <c r="J79" s="7"/>
      <c r="K79" s="8"/>
      <c r="L79" s="7"/>
      <c r="M79" s="8"/>
      <c r="O79" s="7"/>
      <c r="P79" s="7"/>
      <c r="Q79" s="8"/>
    </row>
    <row r="80" spans="1:17" ht="40.9" customHeight="1">
      <c r="A80" s="94" t="s">
        <v>31</v>
      </c>
      <c r="B80" s="94"/>
      <c r="C80" s="94"/>
      <c r="D80" s="94"/>
      <c r="E80" s="94"/>
      <c r="F80" s="94"/>
      <c r="G80" s="94"/>
      <c r="H80" s="94"/>
      <c r="I80" s="94"/>
      <c r="J80" s="94"/>
      <c r="K80" s="94"/>
      <c r="L80" s="94"/>
      <c r="M80" s="94"/>
      <c r="N80" s="94"/>
      <c r="O80" s="94"/>
      <c r="P80" s="94"/>
      <c r="Q80" s="94"/>
    </row>
    <row r="81" spans="1:17" s="3" customFormat="1">
      <c r="E81" s="90" t="s">
        <v>10</v>
      </c>
      <c r="F81" s="90"/>
      <c r="G81" s="90"/>
      <c r="H81" s="90"/>
      <c r="J81" s="90" t="s">
        <v>11</v>
      </c>
      <c r="K81" s="90"/>
      <c r="L81" s="90"/>
      <c r="M81" s="90"/>
      <c r="O81" s="90" t="s">
        <v>12</v>
      </c>
      <c r="P81" s="90"/>
      <c r="Q81" s="90"/>
    </row>
    <row r="82" spans="1:17" s="3" customFormat="1" ht="28.5">
      <c r="A82" s="4" t="s">
        <v>13</v>
      </c>
      <c r="B82" s="4" t="s">
        <v>14</v>
      </c>
      <c r="C82" s="4" t="s">
        <v>15</v>
      </c>
      <c r="E82" s="5" t="s">
        <v>16</v>
      </c>
      <c r="F82" s="6" t="s">
        <v>17</v>
      </c>
      <c r="G82" s="6" t="s">
        <v>18</v>
      </c>
      <c r="H82" s="6" t="s">
        <v>17</v>
      </c>
      <c r="J82" s="5" t="s">
        <v>16</v>
      </c>
      <c r="K82" s="6" t="s">
        <v>17</v>
      </c>
      <c r="L82" s="6" t="s">
        <v>18</v>
      </c>
      <c r="M82" s="6" t="s">
        <v>17</v>
      </c>
      <c r="O82" s="5" t="s">
        <v>16</v>
      </c>
      <c r="P82" s="6" t="s">
        <v>18</v>
      </c>
      <c r="Q82" s="6" t="s">
        <v>19</v>
      </c>
    </row>
    <row r="83" spans="1:17">
      <c r="A83" s="93">
        <f>buu_wk!B26</f>
        <v>2004</v>
      </c>
      <c r="B83" s="93"/>
      <c r="E83" s="7"/>
      <c r="F83" s="8"/>
      <c r="G83" s="7"/>
      <c r="H83" s="8"/>
      <c r="J83" s="7"/>
      <c r="K83" s="8"/>
      <c r="L83" s="7"/>
      <c r="M83" s="8"/>
      <c r="O83" s="7"/>
      <c r="P83" s="7"/>
      <c r="Q83" s="8"/>
    </row>
    <row r="84" spans="1:17">
      <c r="B84" s="3" t="str">
        <f>buu_wk!C26</f>
        <v>Q1</v>
      </c>
      <c r="C84" s="3" t="s">
        <v>20</v>
      </c>
      <c r="E84" s="7">
        <f>buu_wk!D26</f>
        <v>104.39392801</v>
      </c>
      <c r="F84" s="8">
        <f>E84/O84</f>
        <v>0.72569845968135771</v>
      </c>
      <c r="G84" s="7">
        <f>buu_wk!E26</f>
        <v>88.339841239999998</v>
      </c>
      <c r="H84" s="8">
        <f>G84/P84</f>
        <v>0.6912155792275535</v>
      </c>
      <c r="J84" s="7">
        <f>buu_wk!F26</f>
        <v>39.459109869999999</v>
      </c>
      <c r="K84" s="8">
        <f>J84/O84</f>
        <v>0.27430154031864235</v>
      </c>
      <c r="L84" s="7">
        <f>buu_wk!G26</f>
        <v>39.463761419999997</v>
      </c>
      <c r="M84" s="8">
        <f>L84/P84</f>
        <v>0.30878442077244644</v>
      </c>
      <c r="O84" s="7">
        <f>E84+J84</f>
        <v>143.85303787999999</v>
      </c>
      <c r="P84" s="7">
        <f>G84+L84</f>
        <v>127.80360266</v>
      </c>
      <c r="Q84" s="8">
        <f>P84/O84</f>
        <v>0.8884317254850872</v>
      </c>
    </row>
    <row r="85" spans="1:17">
      <c r="B85" s="3" t="str">
        <f>buu_wk!C27</f>
        <v>Q2</v>
      </c>
      <c r="C85" s="3" t="s">
        <v>20</v>
      </c>
      <c r="E85" s="7">
        <f>buu_wk!D27</f>
        <v>108.05058827000001</v>
      </c>
      <c r="F85" s="8">
        <f>E85/O85</f>
        <v>0.73419191579699283</v>
      </c>
      <c r="G85" s="7">
        <f>buu_wk!E27</f>
        <v>93.428328429999993</v>
      </c>
      <c r="H85" s="8">
        <f>G85/P85</f>
        <v>0.70483304511632683</v>
      </c>
      <c r="J85" s="7">
        <f>buu_wk!F27</f>
        <v>39.118817909999997</v>
      </c>
      <c r="K85" s="8">
        <f>J85/O85</f>
        <v>0.26580808420300711</v>
      </c>
      <c r="L85" s="7">
        <f>buu_wk!G27</f>
        <v>39.125514039999999</v>
      </c>
      <c r="M85" s="8">
        <f>L85/P85</f>
        <v>0.29516695488367306</v>
      </c>
      <c r="O85" s="7">
        <f>E85+J85</f>
        <v>147.16940618000001</v>
      </c>
      <c r="P85" s="7">
        <f>G85+L85</f>
        <v>132.55384247000001</v>
      </c>
      <c r="Q85" s="8">
        <f>P85/O85</f>
        <v>0.90068884498912771</v>
      </c>
    </row>
    <row r="86" spans="1:17">
      <c r="B86" s="3" t="str">
        <f>buu_wk!C28</f>
        <v>Q3</v>
      </c>
      <c r="C86" s="3" t="s">
        <v>20</v>
      </c>
      <c r="E86" s="7">
        <f>buu_wk!D28</f>
        <v>108.63964921</v>
      </c>
      <c r="F86" s="8">
        <f>E86/O86</f>
        <v>0.74763167833607691</v>
      </c>
      <c r="G86" s="7">
        <f>buu_wk!E28</f>
        <v>96.342371830000005</v>
      </c>
      <c r="H86" s="8">
        <f>G86/P86</f>
        <v>0.72420723719155544</v>
      </c>
      <c r="J86" s="7">
        <f>buu_wk!F28</f>
        <v>36.672076279999999</v>
      </c>
      <c r="K86" s="8">
        <f>J86/O86</f>
        <v>0.25236832166392298</v>
      </c>
      <c r="L86" s="7">
        <f>buu_wk!G28</f>
        <v>36.689123690000002</v>
      </c>
      <c r="M86" s="8">
        <f>L86/P86</f>
        <v>0.27579276280844445</v>
      </c>
      <c r="O86" s="7">
        <f>E86+J86</f>
        <v>145.31172549000001</v>
      </c>
      <c r="P86" s="7">
        <f>G86+L86</f>
        <v>133.03149552000002</v>
      </c>
      <c r="Q86" s="8">
        <f>P86/O86</f>
        <v>0.91549044009634939</v>
      </c>
    </row>
    <row r="87" spans="1:17">
      <c r="B87" s="3" t="str">
        <f>buu_wk!C29</f>
        <v>Q4</v>
      </c>
      <c r="C87" s="3" t="s">
        <v>20</v>
      </c>
      <c r="E87" s="7">
        <f>buu_wk!D29</f>
        <v>113.7087224</v>
      </c>
      <c r="F87" s="8">
        <f>E87/O87</f>
        <v>0.74231502896770951</v>
      </c>
      <c r="G87" s="7">
        <f>buu_wk!E29</f>
        <v>98.95684353</v>
      </c>
      <c r="H87" s="8">
        <f>G87/P87</f>
        <v>0.71482531818108486</v>
      </c>
      <c r="J87" s="7">
        <f>buu_wk!F29</f>
        <v>39.472498459999997</v>
      </c>
      <c r="K87" s="8">
        <f>J87/O87</f>
        <v>0.25768497103229054</v>
      </c>
      <c r="L87" s="7">
        <f>buu_wk!G29</f>
        <v>39.478157320000001</v>
      </c>
      <c r="M87" s="8">
        <f>L87/P87</f>
        <v>0.2851746818189152</v>
      </c>
      <c r="O87" s="7">
        <f>E87+J87</f>
        <v>153.18122086</v>
      </c>
      <c r="P87" s="7">
        <f>G87+L87</f>
        <v>138.43500084999999</v>
      </c>
      <c r="Q87" s="8">
        <f>P87/O87</f>
        <v>0.90373349992113383</v>
      </c>
    </row>
    <row r="88" spans="1:17">
      <c r="A88" s="4"/>
      <c r="B88" s="4" t="s">
        <v>21</v>
      </c>
      <c r="C88" s="4" t="s">
        <v>20</v>
      </c>
      <c r="D88" s="11"/>
      <c r="E88" s="12">
        <f>SUM(E84:E87)</f>
        <v>434.79288789000003</v>
      </c>
      <c r="F88" s="13">
        <f>E88/O88</f>
        <v>0.7375428953391826</v>
      </c>
      <c r="G88" s="12">
        <f>SUM(G84:G87)</f>
        <v>377.06738503000003</v>
      </c>
      <c r="H88" s="13">
        <f>G88/P88</f>
        <v>0.70900791710596578</v>
      </c>
      <c r="I88" s="12"/>
      <c r="J88" s="12">
        <f>SUM(J84:J87)</f>
        <v>154.72250251999998</v>
      </c>
      <c r="K88" s="13">
        <f>J88/O88</f>
        <v>0.26245710466081734</v>
      </c>
      <c r="L88" s="12">
        <f>SUM(L84:L87)</f>
        <v>154.75655646999999</v>
      </c>
      <c r="M88" s="13">
        <f>L88/P88</f>
        <v>0.29099208289403417</v>
      </c>
      <c r="N88" s="12"/>
      <c r="O88" s="12">
        <f>SUM(O84:O87)</f>
        <v>589.51539041000001</v>
      </c>
      <c r="P88" s="12">
        <f>SUM(P84:P87)</f>
        <v>531.82394150000005</v>
      </c>
      <c r="Q88" s="13">
        <f>P88/O88</f>
        <v>0.9021375016691654</v>
      </c>
    </row>
    <row r="89" spans="1:17">
      <c r="A89" s="93">
        <f>buu_wk!B30</f>
        <v>2005</v>
      </c>
      <c r="B89" s="93"/>
      <c r="E89" s="7"/>
      <c r="F89" s="8"/>
      <c r="G89" s="7"/>
      <c r="H89" s="8"/>
      <c r="J89" s="7"/>
      <c r="K89" s="8"/>
      <c r="L89" s="7"/>
      <c r="M89" s="8"/>
      <c r="O89" s="7"/>
      <c r="P89" s="7"/>
      <c r="Q89" s="8"/>
    </row>
    <row r="90" spans="1:17">
      <c r="B90" s="3" t="str">
        <f>buu_wk!C30</f>
        <v>Q1</v>
      </c>
      <c r="C90" s="3" t="s">
        <v>20</v>
      </c>
      <c r="E90" s="7">
        <f>buu_wk!D30</f>
        <v>95.840703349999998</v>
      </c>
      <c r="F90" s="8">
        <f>E90/O90</f>
        <v>0.65675430576444505</v>
      </c>
      <c r="G90" s="7">
        <f>buu_wk!E30</f>
        <v>81.081542589999998</v>
      </c>
      <c r="H90" s="8">
        <f>G90/P90</f>
        <v>0.61801499814914096</v>
      </c>
      <c r="J90" s="7">
        <f>buu_wk!F30</f>
        <v>50.090130309999999</v>
      </c>
      <c r="K90" s="8">
        <f>J90/O90</f>
        <v>0.34324569423555501</v>
      </c>
      <c r="L90" s="7">
        <f>buu_wk!G30</f>
        <v>50.115180520000003</v>
      </c>
      <c r="M90" s="8">
        <f>L90/P90</f>
        <v>0.38198500185085915</v>
      </c>
      <c r="O90" s="7">
        <f>E90+J90</f>
        <v>145.93083365999999</v>
      </c>
      <c r="P90" s="7">
        <f>G90+L90</f>
        <v>131.19672310999999</v>
      </c>
      <c r="Q90" s="8">
        <f>P90/O90</f>
        <v>0.89903360256045295</v>
      </c>
    </row>
    <row r="91" spans="1:17">
      <c r="C91" s="3" t="s">
        <v>22</v>
      </c>
      <c r="E91" s="8">
        <f>E90/E84-1</f>
        <v>-8.1932204516537377E-2</v>
      </c>
      <c r="F91" s="8">
        <f>F90/F84-1</f>
        <v>-9.500385869247252E-2</v>
      </c>
      <c r="G91" s="8">
        <f>G90/G84-1</f>
        <v>-8.2163365341361594E-2</v>
      </c>
      <c r="H91" s="8">
        <f>H90/H84-1</f>
        <v>-0.10590123150901143</v>
      </c>
      <c r="I91" s="7"/>
      <c r="J91" s="8">
        <f>J90/J84-1</f>
        <v>0.26941865832818901</v>
      </c>
      <c r="K91" s="8">
        <f>K90/K84-1</f>
        <v>0.25134439214896021</v>
      </c>
      <c r="L91" s="8">
        <f>L90/L84-1</f>
        <v>0.26990379823758848</v>
      </c>
      <c r="M91" s="8">
        <f>M90/M84-1</f>
        <v>0.23706047376126094</v>
      </c>
      <c r="N91" s="7"/>
      <c r="O91" s="8">
        <f>O90/O84-1</f>
        <v>1.4443878354055029E-2</v>
      </c>
      <c r="P91" s="8">
        <f>P90/P84-1</f>
        <v>2.6549489837362605E-2</v>
      </c>
      <c r="Q91" s="8">
        <f>Q90/Q84-1</f>
        <v>1.1933249085152919E-2</v>
      </c>
    </row>
    <row r="92" spans="1:17">
      <c r="B92" s="3" t="str">
        <f>buu_wk!C31</f>
        <v>Q2</v>
      </c>
      <c r="C92" s="3" t="s">
        <v>20</v>
      </c>
      <c r="E92" s="7">
        <f>buu_wk!D31</f>
        <v>101.25874788</v>
      </c>
      <c r="F92" s="8">
        <f>E92/O92</f>
        <v>0.6658509061907677</v>
      </c>
      <c r="G92" s="7">
        <f>buu_wk!E31</f>
        <v>90.990842029999996</v>
      </c>
      <c r="H92" s="8">
        <f>G92/P92</f>
        <v>0.64156417340447558</v>
      </c>
      <c r="J92" s="7">
        <f>buu_wk!F31</f>
        <v>50.815458130000003</v>
      </c>
      <c r="K92" s="8">
        <f>J92/O92</f>
        <v>0.33414909380923224</v>
      </c>
      <c r="L92" s="7">
        <f>buu_wk!G31</f>
        <v>50.835721550000002</v>
      </c>
      <c r="M92" s="8">
        <f>L92/P92</f>
        <v>0.35843582659552442</v>
      </c>
      <c r="O92" s="7">
        <f>E92+J92</f>
        <v>152.07420601000001</v>
      </c>
      <c r="P92" s="7">
        <f>G92+L92</f>
        <v>141.82656358</v>
      </c>
      <c r="Q92" s="8">
        <f>P92/O92</f>
        <v>0.93261419737857354</v>
      </c>
    </row>
    <row r="93" spans="1:17">
      <c r="B93" s="3" t="str">
        <f>buu_wk!C32</f>
        <v>Q3</v>
      </c>
      <c r="C93" s="3" t="s">
        <v>20</v>
      </c>
      <c r="E93" s="7">
        <f>buu_wk!D32</f>
        <v>100.69877123000001</v>
      </c>
      <c r="F93" s="8">
        <f>E93/O93</f>
        <v>0.66580023649411157</v>
      </c>
      <c r="G93" s="7">
        <f>buu_wk!E32</f>
        <v>89.606311070000004</v>
      </c>
      <c r="H93" s="8">
        <f>G93/P93</f>
        <v>0.63928364690448947</v>
      </c>
      <c r="J93" s="7">
        <f>buu_wk!F32</f>
        <v>50.545950099999999</v>
      </c>
      <c r="K93" s="8">
        <f>J93/O93</f>
        <v>0.33419976350588843</v>
      </c>
      <c r="L93" s="7">
        <f>buu_wk!G32</f>
        <v>50.560438859999998</v>
      </c>
      <c r="M93" s="8">
        <f>L93/P93</f>
        <v>0.36071635309551048</v>
      </c>
      <c r="O93" s="7">
        <f>E93+J93</f>
        <v>151.24472133</v>
      </c>
      <c r="P93" s="7">
        <f>G93+L93</f>
        <v>140.16674993000001</v>
      </c>
      <c r="Q93" s="8">
        <f>P93/O93</f>
        <v>0.92675465760005582</v>
      </c>
    </row>
    <row r="94" spans="1:17">
      <c r="C94" s="3" t="s">
        <v>22</v>
      </c>
      <c r="E94" s="8">
        <f>E93/E85-1</f>
        <v>-6.8040509151408468E-2</v>
      </c>
      <c r="F94" s="8">
        <f>F93/F87-1</f>
        <v>-0.103075903743997</v>
      </c>
      <c r="G94" s="8">
        <f>G93/G87-1</f>
        <v>-9.4491013723222328E-2</v>
      </c>
      <c r="H94" s="8">
        <f>H93/H87-1</f>
        <v>-0.10567850544076363</v>
      </c>
      <c r="I94" s="7"/>
      <c r="J94" s="8">
        <f>J93/J87-1</f>
        <v>0.28053586856736312</v>
      </c>
      <c r="K94" s="8">
        <f>K93/K87-1</f>
        <v>0.29693152909569487</v>
      </c>
      <c r="L94" s="8">
        <f>L93/L87-1</f>
        <v>0.28071932157749435</v>
      </c>
      <c r="M94" s="8">
        <f>M93/M87-1</f>
        <v>0.26489613592192573</v>
      </c>
      <c r="N94" s="7"/>
      <c r="O94" s="8">
        <f>O93/O87-1</f>
        <v>-1.2641885990514856E-2</v>
      </c>
      <c r="P94" s="8">
        <f>P93/P87-1</f>
        <v>1.2509474261328091E-2</v>
      </c>
      <c r="Q94" s="8">
        <f>Q93/Q87-1</f>
        <v>2.5473391968905634E-2</v>
      </c>
    </row>
    <row r="95" spans="1:17">
      <c r="B95" s="3" t="str">
        <f>buu_wk!C33</f>
        <v>Q4</v>
      </c>
      <c r="C95" s="3" t="s">
        <v>20</v>
      </c>
      <c r="E95" s="7">
        <f>buu_wk!D33</f>
        <v>101.78037162</v>
      </c>
      <c r="F95" s="8">
        <f>E95/O95</f>
        <v>0.6665146336927259</v>
      </c>
      <c r="G95" s="7">
        <f>buu_wk!E33</f>
        <v>90.041976930000004</v>
      </c>
      <c r="H95" s="8">
        <f>G95/P95</f>
        <v>0.63865660660497237</v>
      </c>
      <c r="J95" s="7">
        <f>buu_wk!F33</f>
        <v>50.925010190000002</v>
      </c>
      <c r="K95" s="8">
        <f>J95/O95</f>
        <v>0.3334853663072741</v>
      </c>
      <c r="L95" s="7">
        <f>buu_wk!G33</f>
        <v>50.944550100000001</v>
      </c>
      <c r="M95" s="8">
        <f>L95/P95</f>
        <v>0.36134339339502775</v>
      </c>
      <c r="O95" s="7">
        <f>E95+J95</f>
        <v>152.70538181000001</v>
      </c>
      <c r="P95" s="7">
        <f>G95+L95</f>
        <v>140.98652702999999</v>
      </c>
      <c r="Q95" s="8">
        <f>P95/O95</f>
        <v>0.92325840359326095</v>
      </c>
    </row>
    <row r="96" spans="1:17">
      <c r="B96" s="4"/>
      <c r="C96" s="4" t="s">
        <v>22</v>
      </c>
      <c r="D96" s="11"/>
      <c r="E96" s="13">
        <f>E95/E86-1</f>
        <v>-6.3137884187577265E-2</v>
      </c>
      <c r="F96" s="13" t="e">
        <f>F95/F89-1</f>
        <v>#DIV/0!</v>
      </c>
      <c r="G96" s="13" t="e">
        <f>G95/G89-1</f>
        <v>#DIV/0!</v>
      </c>
      <c r="H96" s="13" t="e">
        <f>H95/H89-1</f>
        <v>#DIV/0!</v>
      </c>
      <c r="I96" s="12"/>
      <c r="J96" s="13" t="e">
        <f>J95/J89-1</f>
        <v>#DIV/0!</v>
      </c>
      <c r="K96" s="13" t="e">
        <f>K95/K89-1</f>
        <v>#DIV/0!</v>
      </c>
      <c r="L96" s="13" t="e">
        <f>L95/L89-1</f>
        <v>#DIV/0!</v>
      </c>
      <c r="M96" s="13" t="e">
        <f>M95/M89-1</f>
        <v>#DIV/0!</v>
      </c>
      <c r="N96" s="12"/>
      <c r="O96" s="13" t="e">
        <f>O95/O89-1</f>
        <v>#DIV/0!</v>
      </c>
      <c r="P96" s="13" t="e">
        <f>P95/P89-1</f>
        <v>#DIV/0!</v>
      </c>
      <c r="Q96" s="13" t="e">
        <f>Q95/Q89-1</f>
        <v>#DIV/0!</v>
      </c>
    </row>
    <row r="97" spans="1:17">
      <c r="B97" s="3" t="s">
        <v>21</v>
      </c>
      <c r="C97" s="3" t="s">
        <v>20</v>
      </c>
      <c r="E97" s="7">
        <f>E93+E91+E89+E95</f>
        <v>202.39721064548348</v>
      </c>
      <c r="F97" s="8">
        <f>E97/O97</f>
        <v>0.66585795162901762</v>
      </c>
      <c r="G97" s="7">
        <f>G93+G91+G89+G95</f>
        <v>179.56612463465865</v>
      </c>
      <c r="H97" s="8">
        <f>G97/P97</f>
        <v>0.63861667069736716</v>
      </c>
      <c r="I97" s="7"/>
      <c r="J97" s="7">
        <f>J93+J91+J89+J95</f>
        <v>101.74037894832819</v>
      </c>
      <c r="K97" s="8">
        <f>J97/O97</f>
        <v>0.33471133376019957</v>
      </c>
      <c r="L97" s="7">
        <f>L93+L91+L89+L95</f>
        <v>101.77489275823758</v>
      </c>
      <c r="M97" s="8">
        <f>L97/P97</f>
        <v>0.36195659568910887</v>
      </c>
      <c r="N97" s="7"/>
      <c r="O97" s="7">
        <f>O93+O91+O89+O95</f>
        <v>303.9645470183541</v>
      </c>
      <c r="P97" s="7">
        <f>P93+P91+P89+P95</f>
        <v>281.17982644983738</v>
      </c>
      <c r="Q97" s="8">
        <f>P97/O97</f>
        <v>0.92504151950608593</v>
      </c>
    </row>
    <row r="98" spans="1:17">
      <c r="A98" s="4"/>
      <c r="B98" s="4"/>
      <c r="C98" s="4" t="s">
        <v>22</v>
      </c>
      <c r="D98" s="11"/>
      <c r="E98" s="13">
        <f>E97/(E85+E84+E83)-1</f>
        <v>-4.7293786681103511E-2</v>
      </c>
      <c r="F98" s="13"/>
      <c r="G98" s="13">
        <f>G97/(G85+G84+G83)-1</f>
        <v>-1.2114580013316667E-2</v>
      </c>
      <c r="H98" s="13"/>
      <c r="I98" s="13"/>
      <c r="J98" s="13">
        <f>J97/(J85+J84+J83)-1</f>
        <v>0.2947704504651445</v>
      </c>
      <c r="K98" s="13"/>
      <c r="L98" s="13">
        <f>L97/(L85+L84+L83)-1</f>
        <v>0.29502266260284449</v>
      </c>
      <c r="M98" s="13"/>
      <c r="N98" s="13"/>
      <c r="O98" s="13">
        <f>O97/(O85+O84+O83)-1</f>
        <v>4.447115067072227E-2</v>
      </c>
      <c r="P98" s="13">
        <f>P97/(P85+P84+P83)-1</f>
        <v>7.9976131696331887E-2</v>
      </c>
      <c r="Q98" s="13"/>
    </row>
    <row r="99" spans="1:17">
      <c r="A99" s="24" t="s">
        <v>36</v>
      </c>
      <c r="E99" s="7"/>
      <c r="F99" s="8"/>
      <c r="G99" s="7"/>
      <c r="H99" s="8"/>
      <c r="J99" s="7"/>
      <c r="K99" s="8"/>
      <c r="L99" s="7"/>
      <c r="M99" s="8"/>
      <c r="O99" s="7"/>
      <c r="P99" s="7"/>
      <c r="Q99" s="8"/>
    </row>
    <row r="100" spans="1:17">
      <c r="A100" s="25" t="s">
        <v>37</v>
      </c>
      <c r="E100" s="7"/>
      <c r="F100" s="8"/>
      <c r="G100" s="7"/>
      <c r="H100" s="8"/>
      <c r="J100" s="7"/>
      <c r="K100" s="8"/>
      <c r="L100" s="7"/>
      <c r="M100" s="8"/>
      <c r="O100" s="7"/>
      <c r="P100" s="7"/>
      <c r="Q100" s="8"/>
    </row>
    <row r="101" spans="1:17">
      <c r="A101" s="25" t="s">
        <v>38</v>
      </c>
      <c r="E101" s="7"/>
      <c r="F101" s="8"/>
      <c r="G101" s="7"/>
      <c r="H101" s="8"/>
      <c r="J101" s="7"/>
      <c r="K101" s="8"/>
      <c r="L101" s="7"/>
      <c r="M101" s="8"/>
      <c r="O101" s="7"/>
      <c r="P101" s="7"/>
      <c r="Q101" s="8"/>
    </row>
    <row r="102" spans="1:17">
      <c r="A102" s="26" t="s">
        <v>39</v>
      </c>
      <c r="E102" s="7"/>
      <c r="F102" s="8"/>
      <c r="G102" s="7"/>
      <c r="H102" s="8"/>
      <c r="J102" s="7"/>
      <c r="K102" s="8"/>
      <c r="L102" s="7"/>
      <c r="M102" s="8"/>
      <c r="O102" s="7"/>
      <c r="P102" s="7"/>
      <c r="Q102" s="8"/>
    </row>
    <row r="103" spans="1:17">
      <c r="A103" s="26" t="s">
        <v>40</v>
      </c>
      <c r="E103" s="7"/>
      <c r="F103" s="8"/>
      <c r="G103" s="7"/>
      <c r="H103" s="8"/>
      <c r="J103" s="7"/>
      <c r="K103" s="8"/>
      <c r="L103" s="7"/>
      <c r="M103" s="8"/>
      <c r="O103" s="7"/>
      <c r="P103" s="7"/>
      <c r="Q103" s="8"/>
    </row>
    <row r="104" spans="1:17">
      <c r="A104" s="26" t="s">
        <v>41</v>
      </c>
      <c r="E104" s="7"/>
      <c r="F104" s="8"/>
      <c r="G104" s="7"/>
      <c r="H104" s="8"/>
      <c r="J104" s="7"/>
      <c r="K104" s="8"/>
      <c r="L104" s="7"/>
      <c r="M104" s="8"/>
      <c r="O104" s="7"/>
      <c r="P104" s="7"/>
      <c r="Q104" s="8"/>
    </row>
    <row r="105" spans="1:17" ht="35.450000000000003" customHeight="1">
      <c r="A105" s="94" t="s">
        <v>33</v>
      </c>
      <c r="B105" s="94"/>
      <c r="C105" s="94"/>
      <c r="D105" s="94"/>
      <c r="E105" s="94"/>
      <c r="F105" s="94"/>
      <c r="G105" s="94"/>
      <c r="H105" s="94"/>
      <c r="I105" s="94"/>
      <c r="J105" s="94"/>
      <c r="K105" s="94"/>
      <c r="L105" s="94"/>
      <c r="M105" s="94"/>
      <c r="N105" s="94"/>
      <c r="O105" s="94"/>
      <c r="P105" s="94"/>
      <c r="Q105" s="94"/>
    </row>
    <row r="106" spans="1:17" s="3" customFormat="1">
      <c r="E106" s="90" t="s">
        <v>10</v>
      </c>
      <c r="F106" s="90"/>
      <c r="G106" s="90"/>
      <c r="H106" s="90"/>
      <c r="J106" s="90" t="s">
        <v>11</v>
      </c>
      <c r="K106" s="90"/>
      <c r="L106" s="90"/>
      <c r="M106" s="90"/>
      <c r="O106" s="90" t="s">
        <v>12</v>
      </c>
      <c r="P106" s="90"/>
      <c r="Q106" s="90"/>
    </row>
    <row r="107" spans="1:17" s="3" customFormat="1" ht="28.5">
      <c r="A107" s="4" t="s">
        <v>13</v>
      </c>
      <c r="B107" s="4" t="s">
        <v>14</v>
      </c>
      <c r="C107" s="4" t="s">
        <v>15</v>
      </c>
      <c r="E107" s="5" t="s">
        <v>16</v>
      </c>
      <c r="F107" s="6" t="s">
        <v>17</v>
      </c>
      <c r="G107" s="6" t="s">
        <v>18</v>
      </c>
      <c r="H107" s="6" t="s">
        <v>17</v>
      </c>
      <c r="J107" s="5" t="s">
        <v>16</v>
      </c>
      <c r="K107" s="6" t="s">
        <v>17</v>
      </c>
      <c r="L107" s="6" t="s">
        <v>18</v>
      </c>
      <c r="M107" s="6" t="s">
        <v>17</v>
      </c>
      <c r="O107" s="5" t="s">
        <v>16</v>
      </c>
      <c r="P107" s="6" t="s">
        <v>18</v>
      </c>
      <c r="Q107" s="6" t="s">
        <v>19</v>
      </c>
    </row>
    <row r="108" spans="1:17">
      <c r="A108" s="93">
        <f>buu_wk!B34</f>
        <v>2004</v>
      </c>
      <c r="B108" s="93"/>
      <c r="E108" s="7"/>
      <c r="F108" s="8"/>
      <c r="G108" s="7"/>
      <c r="H108" s="8"/>
      <c r="J108" s="7"/>
      <c r="K108" s="8"/>
      <c r="L108" s="7"/>
      <c r="M108" s="8"/>
      <c r="O108" s="7"/>
      <c r="P108" s="7"/>
      <c r="Q108" s="8"/>
    </row>
    <row r="109" spans="1:17">
      <c r="B109" s="3" t="str">
        <f>buu_wk!C34</f>
        <v>Q1</v>
      </c>
      <c r="C109" s="3" t="s">
        <v>20</v>
      </c>
      <c r="E109" s="7">
        <f>buu_wk!D34</f>
        <v>102.82191806</v>
      </c>
      <c r="F109" s="8">
        <f>E109/O109</f>
        <v>0.71961427144922319</v>
      </c>
      <c r="G109" s="7">
        <f>buu_wk!E34</f>
        <v>90.876191300000002</v>
      </c>
      <c r="H109" s="8">
        <f>G109/P109</f>
        <v>0.69382755231100812</v>
      </c>
      <c r="J109" s="7">
        <f>buu_wk!F34</f>
        <v>40.062849710000002</v>
      </c>
      <c r="K109" s="8">
        <f>J109/O109</f>
        <v>0.28038572855077681</v>
      </c>
      <c r="L109" s="7">
        <f>buu_wk!G34</f>
        <v>40.101875219999997</v>
      </c>
      <c r="M109" s="8">
        <f>L109/P109</f>
        <v>0.30617244768899188</v>
      </c>
      <c r="O109" s="7">
        <f>E109+J109</f>
        <v>142.88476777</v>
      </c>
      <c r="P109" s="7">
        <f>G109+L109</f>
        <v>130.97806652</v>
      </c>
      <c r="Q109" s="8">
        <f>P109/O109</f>
        <v>0.91666920529159501</v>
      </c>
    </row>
    <row r="110" spans="1:17">
      <c r="B110" s="3" t="str">
        <f>buu_wk!C35</f>
        <v>Q2</v>
      </c>
      <c r="C110" s="3" t="s">
        <v>20</v>
      </c>
      <c r="E110" s="7">
        <f>buu_wk!D35</f>
        <v>107.37274055</v>
      </c>
      <c r="F110" s="8">
        <f>E110/O110</f>
        <v>0.72350622958595923</v>
      </c>
      <c r="G110" s="7">
        <f>buu_wk!E35</f>
        <v>97.042395970000001</v>
      </c>
      <c r="H110" s="8">
        <f>G110/P110</f>
        <v>0.70264895617722445</v>
      </c>
      <c r="J110" s="7">
        <f>buu_wk!F35</f>
        <v>41.033363170000001</v>
      </c>
      <c r="K110" s="8">
        <f>J110/O110</f>
        <v>0.27649377041404077</v>
      </c>
      <c r="L110" s="7">
        <f>buu_wk!G35</f>
        <v>41.066961650000003</v>
      </c>
      <c r="M110" s="8">
        <f>L110/P110</f>
        <v>0.29735104382277555</v>
      </c>
      <c r="O110" s="7">
        <f>E110+J110</f>
        <v>148.40610372</v>
      </c>
      <c r="P110" s="7">
        <f>G110+L110</f>
        <v>138.10935762</v>
      </c>
      <c r="Q110" s="8">
        <f>P110/O110</f>
        <v>0.93061777216773356</v>
      </c>
    </row>
    <row r="111" spans="1:17">
      <c r="B111" s="3" t="str">
        <f>buu_wk!C36</f>
        <v>Q3</v>
      </c>
      <c r="C111" s="3" t="s">
        <v>20</v>
      </c>
      <c r="E111" s="7">
        <f>buu_wk!D36</f>
        <v>108.98079994</v>
      </c>
      <c r="F111" s="8">
        <f>E111/O111</f>
        <v>0.73564320202939792</v>
      </c>
      <c r="G111" s="7">
        <f>buu_wk!E36</f>
        <v>97.417147290000003</v>
      </c>
      <c r="H111" s="8">
        <f>G111/P111</f>
        <v>0.71288614216754287</v>
      </c>
      <c r="J111" s="7">
        <f>buu_wk!F36</f>
        <v>39.162756119999997</v>
      </c>
      <c r="K111" s="8">
        <f>J111/O111</f>
        <v>0.26435679797060219</v>
      </c>
      <c r="L111" s="7">
        <f>buu_wk!G36</f>
        <v>39.23461451</v>
      </c>
      <c r="M111" s="8">
        <f>L111/P111</f>
        <v>0.28711385783245713</v>
      </c>
      <c r="O111" s="7">
        <f>E111+J111</f>
        <v>148.14355605999998</v>
      </c>
      <c r="P111" s="7">
        <f>G111+L111</f>
        <v>136.6517618</v>
      </c>
      <c r="Q111" s="8">
        <f>P111/O111</f>
        <v>0.92242798427664541</v>
      </c>
    </row>
    <row r="112" spans="1:17">
      <c r="B112" s="3" t="str">
        <f>buu_wk!C37</f>
        <v>Q4</v>
      </c>
      <c r="C112" s="3" t="s">
        <v>20</v>
      </c>
      <c r="E112" s="7">
        <f>buu_wk!D37</f>
        <v>113.06227427</v>
      </c>
      <c r="F112" s="8">
        <f>E112/O112</f>
        <v>0.73474432527386901</v>
      </c>
      <c r="G112" s="7">
        <f>buu_wk!E37</f>
        <v>99.015392809999994</v>
      </c>
      <c r="H112" s="8">
        <f>G112/P112</f>
        <v>0.70768128597832491</v>
      </c>
      <c r="J112" s="7">
        <f>buu_wk!F37</f>
        <v>40.817477340000003</v>
      </c>
      <c r="K112" s="8">
        <f>J112/O112</f>
        <v>0.26525567472613104</v>
      </c>
      <c r="L112" s="7">
        <f>buu_wk!G37</f>
        <v>40.899841309999999</v>
      </c>
      <c r="M112" s="8">
        <f>L112/P112</f>
        <v>0.29231871402167514</v>
      </c>
      <c r="O112" s="7">
        <f>E112+J112</f>
        <v>153.87975161</v>
      </c>
      <c r="P112" s="7">
        <f>G112+L112</f>
        <v>139.91523411999998</v>
      </c>
      <c r="Q112" s="8">
        <f>P112/O112</f>
        <v>0.90925045469664945</v>
      </c>
    </row>
    <row r="113" spans="1:17">
      <c r="A113" s="4"/>
      <c r="B113" s="4" t="s">
        <v>21</v>
      </c>
      <c r="C113" s="4" t="s">
        <v>20</v>
      </c>
      <c r="D113" s="11"/>
      <c r="E113" s="12">
        <f>SUM(E109:E112)</f>
        <v>432.23773282000002</v>
      </c>
      <c r="F113" s="13">
        <f>E113/O113</f>
        <v>0.72851407905327981</v>
      </c>
      <c r="G113" s="12">
        <f>SUM(G109:G112)</f>
        <v>384.35112736999997</v>
      </c>
      <c r="H113" s="13">
        <f>G113/P113</f>
        <v>0.70438562071528155</v>
      </c>
      <c r="I113" s="12"/>
      <c r="J113" s="12">
        <f>SUM(J109:J112)</f>
        <v>161.07644633999999</v>
      </c>
      <c r="K113" s="13">
        <f>J113/O113</f>
        <v>0.2714859209467203</v>
      </c>
      <c r="L113" s="12">
        <f>SUM(L109:L112)</f>
        <v>161.30329269000001</v>
      </c>
      <c r="M113" s="13">
        <f>L113/P113</f>
        <v>0.29561437928471868</v>
      </c>
      <c r="N113" s="12"/>
      <c r="O113" s="12">
        <f>SUM(O109:O112)</f>
        <v>593.31417915999998</v>
      </c>
      <c r="P113" s="12">
        <f>SUM(P109:P112)</f>
        <v>545.65442005999989</v>
      </c>
      <c r="Q113" s="13">
        <f>P113/O113</f>
        <v>0.91967197013987489</v>
      </c>
    </row>
    <row r="114" spans="1:17">
      <c r="A114" s="93">
        <f>buu_wk!B38</f>
        <v>2005</v>
      </c>
      <c r="B114" s="93"/>
      <c r="E114" s="7"/>
      <c r="F114" s="8"/>
      <c r="G114" s="7"/>
      <c r="H114" s="8"/>
      <c r="J114" s="7"/>
      <c r="K114" s="8"/>
      <c r="L114" s="7"/>
      <c r="M114" s="8"/>
      <c r="O114" s="7"/>
      <c r="P114" s="7"/>
      <c r="Q114" s="8"/>
    </row>
    <row r="115" spans="1:17">
      <c r="B115" s="3" t="str">
        <f>buu_wk!C38</f>
        <v>Q1</v>
      </c>
      <c r="C115" s="3" t="s">
        <v>20</v>
      </c>
      <c r="E115" s="7">
        <f>buu_wk!D38</f>
        <v>102.09041591</v>
      </c>
      <c r="F115" s="8">
        <f>E115/O115</f>
        <v>0.66292049083219151</v>
      </c>
      <c r="G115" s="7">
        <f>buu_wk!E38</f>
        <v>89.242550059999999</v>
      </c>
      <c r="H115" s="8">
        <f>G115/P115</f>
        <v>0.63196707282713205</v>
      </c>
      <c r="J115" s="7">
        <f>buu_wk!F38</f>
        <v>51.910580170000003</v>
      </c>
      <c r="K115" s="8">
        <f>J115/O115</f>
        <v>0.33707950916780854</v>
      </c>
      <c r="L115" s="7">
        <f>buu_wk!G38</f>
        <v>51.971373730000003</v>
      </c>
      <c r="M115" s="8">
        <f>L115/P115</f>
        <v>0.36803292717286801</v>
      </c>
      <c r="O115" s="7">
        <f>E115+J115</f>
        <v>154.00099607999999</v>
      </c>
      <c r="P115" s="7">
        <f>G115+L115</f>
        <v>141.21392379</v>
      </c>
      <c r="Q115" s="8">
        <f>P115/O115</f>
        <v>0.91696760010982392</v>
      </c>
    </row>
    <row r="116" spans="1:17">
      <c r="C116" s="3" t="s">
        <v>22</v>
      </c>
      <c r="E116" s="8">
        <f>E115/E109-1</f>
        <v>-7.1142628322994339E-3</v>
      </c>
      <c r="F116" s="8">
        <f>F115/F109-1</f>
        <v>-7.8783569012405352E-2</v>
      </c>
      <c r="G116" s="8">
        <f>G115/G109-1</f>
        <v>-1.7976559279504034E-2</v>
      </c>
      <c r="H116" s="8">
        <f>H115/H109-1</f>
        <v>-8.9158291967262659E-2</v>
      </c>
      <c r="I116" s="7"/>
      <c r="J116" s="8">
        <f>J115/J109-1</f>
        <v>0.29572860008115476</v>
      </c>
      <c r="K116" s="8">
        <f>K115/K109-1</f>
        <v>0.20219923785017002</v>
      </c>
      <c r="L116" s="8">
        <f>L115/L109-1</f>
        <v>0.29598362781998611</v>
      </c>
      <c r="M116" s="8">
        <f>M115/M109-1</f>
        <v>0.20204456655327019</v>
      </c>
      <c r="N116" s="7"/>
      <c r="O116" s="8">
        <f>O115/O109-1</f>
        <v>7.779855392209245E-2</v>
      </c>
      <c r="P116" s="8">
        <f>P115/P109-1</f>
        <v>7.8149399681640697E-2</v>
      </c>
      <c r="Q116" s="8">
        <f>Q115/Q109-1</f>
        <v>3.2552071838609642E-4</v>
      </c>
    </row>
    <row r="117" spans="1:17">
      <c r="B117" s="3" t="str">
        <f>buu_wk!C39</f>
        <v>Q2</v>
      </c>
      <c r="C117" s="3" t="s">
        <v>20</v>
      </c>
      <c r="E117" s="7">
        <f>buu_wk!D39</f>
        <v>104.34158102000001</v>
      </c>
      <c r="F117" s="8">
        <f>E117/O117</f>
        <v>0.66783872840537728</v>
      </c>
      <c r="G117" s="7">
        <f>buu_wk!E39</f>
        <v>95.125504530000001</v>
      </c>
      <c r="H117" s="8">
        <f>G117/P117</f>
        <v>0.64674275831540406</v>
      </c>
      <c r="J117" s="7">
        <f>buu_wk!F39</f>
        <v>51.896110180000001</v>
      </c>
      <c r="K117" s="8">
        <f>J117/O117</f>
        <v>0.33216127159462278</v>
      </c>
      <c r="L117" s="7">
        <f>buu_wk!G39</f>
        <v>51.958484130000002</v>
      </c>
      <c r="M117" s="8">
        <f>L117/P117</f>
        <v>0.35325724168459605</v>
      </c>
      <c r="O117" s="7">
        <f>E117+J117</f>
        <v>156.2376912</v>
      </c>
      <c r="P117" s="7">
        <f>G117+L117</f>
        <v>147.08398865999999</v>
      </c>
      <c r="Q117" s="8">
        <f>P117/O117</f>
        <v>0.94141168837241485</v>
      </c>
    </row>
    <row r="118" spans="1:17">
      <c r="C118" s="3" t="s">
        <v>22</v>
      </c>
      <c r="E118" s="8">
        <f>E117/E110-1</f>
        <v>-2.823025205907348E-2</v>
      </c>
      <c r="F118" s="8">
        <f>F117/F111-1</f>
        <v>-9.2170325827752309E-2</v>
      </c>
      <c r="G118" s="8">
        <f>G117/G111-1</f>
        <v>-2.3524018345333353E-2</v>
      </c>
      <c r="H118" s="8">
        <f>H117/H111-1</f>
        <v>-9.2782535582791259E-2</v>
      </c>
      <c r="I118" s="7"/>
      <c r="J118" s="8">
        <f>J117/J111-1</f>
        <v>0.32513937530298631</v>
      </c>
      <c r="K118" s="8">
        <f>K117/K111-1</f>
        <v>0.25648848126674917</v>
      </c>
      <c r="L118" s="8">
        <f>L117/L111-1</f>
        <v>0.32430214439234462</v>
      </c>
      <c r="M118" s="8">
        <f>M117/M111-1</f>
        <v>0.23037335902726208</v>
      </c>
      <c r="N118" s="7"/>
      <c r="O118" s="8">
        <f>O117/O111-1</f>
        <v>5.4637105759239413E-2</v>
      </c>
      <c r="P118" s="8">
        <f>P117/P111-1</f>
        <v>7.6341693093341378E-2</v>
      </c>
      <c r="Q118" s="8">
        <f>Q117/Q111-1</f>
        <v>2.0580147631423129E-2</v>
      </c>
    </row>
    <row r="119" spans="1:17">
      <c r="B119" s="3" t="str">
        <f>buu_wk!C40</f>
        <v>Q3</v>
      </c>
      <c r="C119" s="3" t="s">
        <v>20</v>
      </c>
      <c r="E119" s="7">
        <f>buu_wk!D40</f>
        <v>102.29181737</v>
      </c>
      <c r="F119" s="8">
        <f>E119/O119</f>
        <v>0.66646881968130556</v>
      </c>
      <c r="G119" s="7">
        <f>buu_wk!E40</f>
        <v>93.250301350000001</v>
      </c>
      <c r="H119" s="8">
        <f>G119/P119</f>
        <v>0.64508434475662146</v>
      </c>
      <c r="J119" s="7">
        <f>buu_wk!F40</f>
        <v>51.191457990000004</v>
      </c>
      <c r="K119" s="8">
        <f>J119/O119</f>
        <v>0.33353118031869455</v>
      </c>
      <c r="L119" s="7">
        <f>buu_wk!G40</f>
        <v>51.304906209999999</v>
      </c>
      <c r="M119" s="8">
        <f>L119/P119</f>
        <v>0.35491565524337865</v>
      </c>
      <c r="O119" s="7">
        <f>E119+J119</f>
        <v>153.48327535999999</v>
      </c>
      <c r="P119" s="7">
        <f>G119+L119</f>
        <v>144.55520755999999</v>
      </c>
      <c r="Q119" s="8">
        <f>P119/O119</f>
        <v>0.94183035396489334</v>
      </c>
    </row>
    <row r="120" spans="1:17">
      <c r="C120" s="3" t="s">
        <v>22</v>
      </c>
      <c r="E120" s="8">
        <f>E119/E111-1</f>
        <v>-6.1377624073989612E-2</v>
      </c>
      <c r="F120" s="8">
        <f>F119/F113-1</f>
        <v>-8.5166863834125861E-2</v>
      </c>
      <c r="G120" s="8">
        <f>G119/G113-1</f>
        <v>-0.75738252158102415</v>
      </c>
      <c r="H120" s="8">
        <f>H119/H113-1</f>
        <v>-8.4188652088669103E-2</v>
      </c>
      <c r="I120" s="7"/>
      <c r="J120" s="8">
        <f>J119/J113-1</f>
        <v>-0.68219153604900662</v>
      </c>
      <c r="K120" s="8">
        <f>K119/K113-1</f>
        <v>0.22853951009912876</v>
      </c>
      <c r="L120" s="8">
        <f>L119/L113-1</f>
        <v>-0.68193515857980591</v>
      </c>
      <c r="M120" s="8">
        <f>M119/M113-1</f>
        <v>0.20060348925565763</v>
      </c>
      <c r="N120" s="7"/>
      <c r="O120" s="8">
        <f>O119/O113-1</f>
        <v>-0.74131197137864135</v>
      </c>
      <c r="P120" s="8">
        <f>P119/P113-1</f>
        <v>-0.73507919619875017</v>
      </c>
      <c r="Q120" s="8">
        <f>Q119/Q113-1</f>
        <v>2.4093790551916294E-2</v>
      </c>
    </row>
    <row r="121" spans="1:17">
      <c r="B121" s="3" t="str">
        <f>buu_wk!C41</f>
        <v>Q4</v>
      </c>
      <c r="C121" s="3" t="s">
        <v>20</v>
      </c>
      <c r="E121" s="7">
        <f>buu_wk!D41</f>
        <v>103.20206614999999</v>
      </c>
      <c r="F121" s="8">
        <f>E121/O121</f>
        <v>0.66456964152391274</v>
      </c>
      <c r="G121" s="7">
        <f>buu_wk!E41</f>
        <v>95.161190469999994</v>
      </c>
      <c r="H121" s="8">
        <f>G121/P121</f>
        <v>0.64577139900581437</v>
      </c>
      <c r="J121" s="7">
        <f>buu_wk!F41</f>
        <v>52.08950858</v>
      </c>
      <c r="K121" s="8">
        <f>J121/O121</f>
        <v>0.33543035847608732</v>
      </c>
      <c r="L121" s="7">
        <f>buu_wk!G41</f>
        <v>52.19930059</v>
      </c>
      <c r="M121" s="8">
        <f>L121/P121</f>
        <v>0.35422860099418568</v>
      </c>
      <c r="O121" s="7">
        <f>E121+J121</f>
        <v>155.29157472999998</v>
      </c>
      <c r="P121" s="7">
        <f>G121+L121</f>
        <v>147.36049105999999</v>
      </c>
      <c r="Q121" s="8">
        <f>P121/O121</f>
        <v>0.94892779158309459</v>
      </c>
    </row>
    <row r="122" spans="1:17">
      <c r="B122" s="4"/>
      <c r="C122" s="4" t="s">
        <v>22</v>
      </c>
      <c r="D122" s="11"/>
      <c r="E122" s="13">
        <f>E121/E112-1</f>
        <v>-8.7210417300232268E-2</v>
      </c>
      <c r="F122" s="13">
        <f>F121/F115-1</f>
        <v>2.487705108724203E-3</v>
      </c>
      <c r="G122" s="13">
        <f>G121/G115-1</f>
        <v>6.6320834691755648E-2</v>
      </c>
      <c r="H122" s="13">
        <f>H121/H115-1</f>
        <v>2.1843426298981061E-2</v>
      </c>
      <c r="I122" s="12"/>
      <c r="J122" s="13">
        <f>J121/J115-1</f>
        <v>3.4468582206947929E-3</v>
      </c>
      <c r="K122" s="13">
        <f>K121/K115-1</f>
        <v>-4.8924679396641357E-3</v>
      </c>
      <c r="L122" s="13">
        <f>L121/L115-1</f>
        <v>4.3856231544718849E-3</v>
      </c>
      <c r="M122" s="13">
        <f>M121/M115-1</f>
        <v>-3.7508399818254046E-2</v>
      </c>
      <c r="N122" s="12"/>
      <c r="O122" s="13">
        <f>O121/O115-1</f>
        <v>8.3803266397677323E-3</v>
      </c>
      <c r="P122" s="13">
        <f>P121/P115-1</f>
        <v>4.3526637494618381E-2</v>
      </c>
      <c r="Q122" s="13">
        <f>Q121/Q115-1</f>
        <v>3.4854221097280647E-2</v>
      </c>
    </row>
    <row r="123" spans="1:17">
      <c r="B123" s="3" t="s">
        <v>21</v>
      </c>
      <c r="C123" s="3" t="s">
        <v>20</v>
      </c>
      <c r="E123" s="7">
        <f>E119+E117+E115+E121</f>
        <v>411.92588045000002</v>
      </c>
      <c r="F123" s="8">
        <f>E123/O123</f>
        <v>0.66545536661467475</v>
      </c>
      <c r="G123" s="7">
        <f>G119+G117+G115+G121</f>
        <v>372.77954641000002</v>
      </c>
      <c r="H123" s="8">
        <f>G123/P123</f>
        <v>0.64248673126185241</v>
      </c>
      <c r="I123" s="7"/>
      <c r="J123" s="7">
        <f>J119+J117+J115+J121</f>
        <v>207.08765692</v>
      </c>
      <c r="K123" s="8">
        <f>J123/O123</f>
        <v>0.33454463338532531</v>
      </c>
      <c r="L123" s="7">
        <f>L119+L117+L115+L121</f>
        <v>207.43406466000002</v>
      </c>
      <c r="M123" s="8">
        <f>L123/P123</f>
        <v>0.3575132687381477</v>
      </c>
      <c r="N123" s="7"/>
      <c r="O123" s="7">
        <f>O119+O117+O115+O121</f>
        <v>619.01353736999999</v>
      </c>
      <c r="P123" s="7">
        <f>P119+P117+P115+P121</f>
        <v>580.21361106999996</v>
      </c>
      <c r="Q123" s="8">
        <f>P123/O123</f>
        <v>0.93731974511438132</v>
      </c>
    </row>
    <row r="124" spans="1:17">
      <c r="A124" s="4"/>
      <c r="B124" s="4"/>
      <c r="C124" s="4" t="s">
        <v>22</v>
      </c>
      <c r="D124" s="11"/>
      <c r="E124" s="13">
        <f>E123/(E111+E110+E109)-1</f>
        <v>0.29059383926747073</v>
      </c>
      <c r="F124" s="13"/>
      <c r="G124" s="13">
        <f>G123/(G111+G110+G109)-1</f>
        <v>0.30645937840502935</v>
      </c>
      <c r="H124" s="13"/>
      <c r="I124" s="13"/>
      <c r="J124" s="13">
        <f>J123/(J111+J110+J109)-1</f>
        <v>0.72201423845567803</v>
      </c>
      <c r="K124" s="13"/>
      <c r="L124" s="13">
        <f>L123/(L111+L110+L109)-1</f>
        <v>0.72282490478887151</v>
      </c>
      <c r="M124" s="13"/>
      <c r="N124" s="13"/>
      <c r="O124" s="13">
        <f>O123/(O111+O110+O109)-1</f>
        <v>0.40865962828906266</v>
      </c>
      <c r="P124" s="13">
        <f>P123/(P111+P110+P109)-1</f>
        <v>0.43001620542463703</v>
      </c>
      <c r="Q124" s="13"/>
    </row>
    <row r="125" spans="1:17">
      <c r="A125" s="24" t="s">
        <v>36</v>
      </c>
      <c r="E125" s="7"/>
      <c r="F125" s="8"/>
      <c r="G125" s="7"/>
      <c r="H125" s="8"/>
      <c r="J125" s="7"/>
      <c r="K125" s="8"/>
      <c r="L125" s="7"/>
      <c r="M125" s="8"/>
      <c r="O125" s="7"/>
      <c r="P125" s="7"/>
      <c r="Q125" s="8"/>
    </row>
    <row r="126" spans="1:17">
      <c r="A126" s="25" t="s">
        <v>37</v>
      </c>
      <c r="E126" s="7"/>
      <c r="F126" s="8"/>
      <c r="G126" s="7"/>
      <c r="H126" s="8"/>
      <c r="J126" s="7"/>
      <c r="K126" s="8"/>
      <c r="L126" s="7"/>
      <c r="M126" s="8"/>
      <c r="O126" s="7"/>
      <c r="P126" s="7"/>
      <c r="Q126" s="8"/>
    </row>
    <row r="127" spans="1:17">
      <c r="A127" s="25" t="s">
        <v>38</v>
      </c>
      <c r="E127" s="7"/>
      <c r="F127" s="8"/>
      <c r="G127" s="7"/>
      <c r="H127" s="8"/>
      <c r="J127" s="7"/>
      <c r="K127" s="8"/>
      <c r="L127" s="7"/>
      <c r="M127" s="8"/>
      <c r="O127" s="7"/>
      <c r="P127" s="7"/>
      <c r="Q127" s="8"/>
    </row>
    <row r="128" spans="1:17">
      <c r="A128" s="26" t="s">
        <v>39</v>
      </c>
      <c r="E128" s="7"/>
      <c r="F128" s="8"/>
      <c r="G128" s="7"/>
      <c r="H128" s="8"/>
      <c r="J128" s="7"/>
      <c r="K128" s="8"/>
      <c r="L128" s="7"/>
      <c r="M128" s="8"/>
      <c r="O128" s="7"/>
      <c r="P128" s="7"/>
      <c r="Q128" s="8"/>
    </row>
    <row r="129" spans="1:17">
      <c r="A129" s="26" t="s">
        <v>40</v>
      </c>
      <c r="E129" s="7"/>
      <c r="F129" s="8"/>
      <c r="G129" s="7"/>
      <c r="H129" s="8"/>
      <c r="J129" s="7"/>
      <c r="K129" s="8"/>
      <c r="L129" s="7"/>
      <c r="M129" s="8"/>
      <c r="O129" s="7"/>
      <c r="P129" s="7"/>
      <c r="Q129" s="8"/>
    </row>
    <row r="130" spans="1:17">
      <c r="A130" s="26" t="s">
        <v>41</v>
      </c>
      <c r="E130" s="7"/>
      <c r="F130" s="8"/>
      <c r="G130" s="7"/>
      <c r="H130" s="8"/>
      <c r="J130" s="7"/>
      <c r="K130" s="8"/>
      <c r="L130" s="7"/>
      <c r="M130" s="8"/>
      <c r="O130" s="7"/>
      <c r="P130" s="7"/>
      <c r="Q130" s="8"/>
    </row>
    <row r="131" spans="1:17" ht="36.6" customHeight="1">
      <c r="A131" s="94" t="s">
        <v>30</v>
      </c>
      <c r="B131" s="94"/>
      <c r="C131" s="94"/>
      <c r="D131" s="94"/>
      <c r="E131" s="94"/>
      <c r="F131" s="94"/>
      <c r="G131" s="94"/>
      <c r="H131" s="94"/>
      <c r="I131" s="94"/>
      <c r="J131" s="94"/>
      <c r="K131" s="94"/>
      <c r="L131" s="94"/>
      <c r="M131" s="94"/>
      <c r="N131" s="94"/>
      <c r="O131" s="94"/>
      <c r="P131" s="94"/>
      <c r="Q131" s="94"/>
    </row>
    <row r="132" spans="1:17" s="3" customFormat="1">
      <c r="E132" s="90" t="s">
        <v>10</v>
      </c>
      <c r="F132" s="90"/>
      <c r="G132" s="90"/>
      <c r="H132" s="90"/>
      <c r="J132" s="90" t="s">
        <v>11</v>
      </c>
      <c r="K132" s="90"/>
      <c r="L132" s="90"/>
      <c r="M132" s="90"/>
      <c r="O132" s="90" t="s">
        <v>12</v>
      </c>
      <c r="P132" s="90"/>
      <c r="Q132" s="90"/>
    </row>
    <row r="133" spans="1:17" s="3" customFormat="1" ht="28.5">
      <c r="A133" s="4" t="s">
        <v>13</v>
      </c>
      <c r="B133" s="4" t="s">
        <v>14</v>
      </c>
      <c r="C133" s="4" t="s">
        <v>15</v>
      </c>
      <c r="E133" s="5" t="s">
        <v>16</v>
      </c>
      <c r="F133" s="6" t="s">
        <v>17</v>
      </c>
      <c r="G133" s="6" t="s">
        <v>18</v>
      </c>
      <c r="H133" s="6" t="s">
        <v>17</v>
      </c>
      <c r="J133" s="5" t="s">
        <v>16</v>
      </c>
      <c r="K133" s="6" t="s">
        <v>17</v>
      </c>
      <c r="L133" s="6" t="s">
        <v>18</v>
      </c>
      <c r="M133" s="6" t="s">
        <v>17</v>
      </c>
      <c r="O133" s="5" t="s">
        <v>16</v>
      </c>
      <c r="P133" s="6" t="s">
        <v>18</v>
      </c>
      <c r="Q133" s="6" t="s">
        <v>19</v>
      </c>
    </row>
    <row r="134" spans="1:17">
      <c r="A134" s="93">
        <f>buu_wk!B42</f>
        <v>2004</v>
      </c>
      <c r="B134" s="93"/>
      <c r="E134" s="7"/>
      <c r="F134" s="8"/>
      <c r="G134" s="7"/>
      <c r="H134" s="8"/>
      <c r="J134" s="7"/>
      <c r="K134" s="8"/>
      <c r="L134" s="7"/>
      <c r="M134" s="8"/>
      <c r="O134" s="7"/>
      <c r="P134" s="7"/>
      <c r="Q134" s="8"/>
    </row>
    <row r="135" spans="1:17">
      <c r="B135" s="3" t="str">
        <f>buu_wk!C42</f>
        <v>Q1</v>
      </c>
      <c r="C135" s="3" t="s">
        <v>20</v>
      </c>
      <c r="D135" s="3"/>
      <c r="E135" s="7">
        <f>buu_wk!D42</f>
        <v>225.27337876999999</v>
      </c>
      <c r="F135" s="8">
        <f>E135/O135</f>
        <v>0.69886773344554287</v>
      </c>
      <c r="G135" s="7">
        <f>buu_wk!E42</f>
        <v>195.05059463000001</v>
      </c>
      <c r="H135" s="8">
        <f>G135/P135</f>
        <v>0.66771183538946688</v>
      </c>
      <c r="J135" s="7">
        <f>buu_wk!F42</f>
        <v>97.067127150000005</v>
      </c>
      <c r="K135" s="8">
        <f>J135/O135</f>
        <v>0.30113226655445713</v>
      </c>
      <c r="L135" s="7">
        <f>buu_wk!G42</f>
        <v>97.067328540000005</v>
      </c>
      <c r="M135" s="8">
        <f>L135/P135</f>
        <v>0.33228816461053301</v>
      </c>
      <c r="O135" s="7">
        <f>E135+J135</f>
        <v>322.34050592</v>
      </c>
      <c r="P135" s="7">
        <f>G135+L135</f>
        <v>292.11792317000004</v>
      </c>
      <c r="Q135" s="8">
        <f>P135/O135</f>
        <v>0.90624019570937586</v>
      </c>
    </row>
    <row r="136" spans="1:17">
      <c r="B136" s="3" t="str">
        <f>buu_wk!C43</f>
        <v>Q2</v>
      </c>
      <c r="C136" s="3" t="s">
        <v>20</v>
      </c>
      <c r="D136" s="3"/>
      <c r="E136" s="7">
        <f>buu_wk!D43</f>
        <v>242.90342720000001</v>
      </c>
      <c r="F136" s="8">
        <f>E136/O136</f>
        <v>0.70237368554101343</v>
      </c>
      <c r="G136" s="7">
        <f>buu_wk!E43</f>
        <v>206.53950703999999</v>
      </c>
      <c r="H136" s="8">
        <f>G136/P136</f>
        <v>0.66739955848139199</v>
      </c>
      <c r="J136" s="7">
        <f>buu_wk!F43</f>
        <v>102.928759</v>
      </c>
      <c r="K136" s="8">
        <f>J136/O136</f>
        <v>0.29762631445898657</v>
      </c>
      <c r="L136" s="7">
        <f>buu_wk!G43</f>
        <v>102.92954252</v>
      </c>
      <c r="M136" s="8">
        <f>L136/P136</f>
        <v>0.33260044151860807</v>
      </c>
      <c r="O136" s="7">
        <f>E136+J136</f>
        <v>345.83218620000002</v>
      </c>
      <c r="P136" s="7">
        <f>G136+L136</f>
        <v>309.46904955999997</v>
      </c>
      <c r="Q136" s="8">
        <f>P136/O136</f>
        <v>0.8948532320269037</v>
      </c>
    </row>
    <row r="137" spans="1:17">
      <c r="B137" s="3" t="str">
        <f>buu_wk!C44</f>
        <v>Q3</v>
      </c>
      <c r="C137" s="3" t="s">
        <v>20</v>
      </c>
      <c r="D137" s="3"/>
      <c r="E137" s="7">
        <f>buu_wk!D44</f>
        <v>249.05572587</v>
      </c>
      <c r="F137" s="8">
        <f>E137/O137</f>
        <v>0.71857635234284767</v>
      </c>
      <c r="G137" s="7">
        <f>buu_wk!E44</f>
        <v>225.41530071</v>
      </c>
      <c r="H137" s="8">
        <f>G137/P137</f>
        <v>0.69796601121875368</v>
      </c>
      <c r="J137" s="7">
        <f>buu_wk!F44</f>
        <v>97.540324859999998</v>
      </c>
      <c r="K137" s="8">
        <f>J137/O137</f>
        <v>0.28142364765715228</v>
      </c>
      <c r="L137" s="7">
        <f>buu_wk!G44</f>
        <v>97.544982579999996</v>
      </c>
      <c r="M137" s="8">
        <f>L137/P137</f>
        <v>0.30203398878124632</v>
      </c>
      <c r="O137" s="7">
        <f>E137+J137</f>
        <v>346.59605073</v>
      </c>
      <c r="P137" s="7">
        <f>G137+L137</f>
        <v>322.96028329000001</v>
      </c>
      <c r="Q137" s="8">
        <f>P137/O137</f>
        <v>0.93180601051218448</v>
      </c>
    </row>
    <row r="138" spans="1:17">
      <c r="B138" s="3" t="str">
        <f>buu_wk!C45</f>
        <v>Q4</v>
      </c>
      <c r="C138" s="3" t="s">
        <v>20</v>
      </c>
      <c r="D138" s="3"/>
      <c r="E138" s="7">
        <f>buu_wk!D45</f>
        <v>256.67073862000001</v>
      </c>
      <c r="F138" s="8">
        <f>E138/O138</f>
        <v>0.71158166164844272</v>
      </c>
      <c r="G138" s="7">
        <f>buu_wk!E45</f>
        <v>227.26624142</v>
      </c>
      <c r="H138" s="8">
        <f>G138/P138</f>
        <v>0.68596037819077293</v>
      </c>
      <c r="J138" s="7">
        <f>buu_wk!F45</f>
        <v>104.03380515000001</v>
      </c>
      <c r="K138" s="8">
        <f>J138/O138</f>
        <v>0.28841833835155739</v>
      </c>
      <c r="L138" s="7">
        <f>buu_wk!G45</f>
        <v>104.04479147000001</v>
      </c>
      <c r="M138" s="8">
        <f>L138/P138</f>
        <v>0.31403962180922712</v>
      </c>
      <c r="O138" s="7">
        <f>E138+J138</f>
        <v>360.70454376999999</v>
      </c>
      <c r="P138" s="7">
        <f>G138+L138</f>
        <v>331.31103288999998</v>
      </c>
      <c r="Q138" s="8">
        <f>P138/O138</f>
        <v>0.9185108383365902</v>
      </c>
    </row>
    <row r="139" spans="1:17">
      <c r="A139" s="4"/>
      <c r="B139" s="4" t="s">
        <v>21</v>
      </c>
      <c r="C139" s="4" t="s">
        <v>20</v>
      </c>
      <c r="D139" s="11"/>
      <c r="E139" s="12">
        <f>SUM(E135:E138)</f>
        <v>973.90327046000016</v>
      </c>
      <c r="F139" s="13">
        <f>E139/O139</f>
        <v>0.7080495709612854</v>
      </c>
      <c r="G139" s="12">
        <f>SUM(G135:G138)</f>
        <v>854.27164379999999</v>
      </c>
      <c r="H139" s="13">
        <f>G139/P139</f>
        <v>0.68022933108276884</v>
      </c>
      <c r="I139" s="12"/>
      <c r="J139" s="12">
        <f>SUM(J135:J138)</f>
        <v>401.57001616000002</v>
      </c>
      <c r="K139" s="13">
        <f>J139/O139</f>
        <v>0.29195042903871471</v>
      </c>
      <c r="L139" s="12">
        <f>SUM(L135:L138)</f>
        <v>401.58664511000001</v>
      </c>
      <c r="M139" s="13">
        <f>L139/P139</f>
        <v>0.3197706689172311</v>
      </c>
      <c r="N139" s="12"/>
      <c r="O139" s="12">
        <f>SUM(O135:O138)</f>
        <v>1375.47328662</v>
      </c>
      <c r="P139" s="12">
        <f>SUM(P135:P138)</f>
        <v>1255.8582889100001</v>
      </c>
      <c r="Q139" s="13">
        <f>P139/O139</f>
        <v>0.91303720772074448</v>
      </c>
    </row>
    <row r="140" spans="1:17">
      <c r="A140" s="93">
        <f>buu_wk!B46</f>
        <v>2005</v>
      </c>
      <c r="B140" s="93"/>
      <c r="D140" s="3"/>
      <c r="E140" s="7"/>
      <c r="F140" s="8"/>
      <c r="G140" s="7"/>
      <c r="H140" s="8"/>
      <c r="J140" s="7"/>
      <c r="K140" s="8"/>
      <c r="L140" s="7"/>
      <c r="M140" s="8"/>
      <c r="O140" s="7"/>
      <c r="P140" s="7"/>
      <c r="Q140" s="8"/>
    </row>
    <row r="141" spans="1:17">
      <c r="B141" s="3" t="str">
        <f>buu_wk!C46</f>
        <v>Q1</v>
      </c>
      <c r="C141" s="3" t="s">
        <v>20</v>
      </c>
      <c r="D141" s="3"/>
      <c r="E141" s="7">
        <f>buu_wk!D46</f>
        <v>216.87690914000001</v>
      </c>
      <c r="F141" s="8">
        <f>E141/O141</f>
        <v>0.64441041086588946</v>
      </c>
      <c r="G141" s="7">
        <f>buu_wk!E46</f>
        <v>185.45665008</v>
      </c>
      <c r="H141" s="8">
        <f>G141/P141</f>
        <v>0.60776759264543267</v>
      </c>
      <c r="J141" s="7">
        <f>buu_wk!F46</f>
        <v>119.67399923000001</v>
      </c>
      <c r="K141" s="8">
        <f>J141/O141</f>
        <v>0.3555895891341106</v>
      </c>
      <c r="L141" s="7">
        <f>buu_wk!G46</f>
        <v>119.68737590000001</v>
      </c>
      <c r="M141" s="8">
        <f>L141/P141</f>
        <v>0.39223240735456716</v>
      </c>
      <c r="O141" s="7">
        <f>E141+J141</f>
        <v>336.55090837</v>
      </c>
      <c r="P141" s="7">
        <f>G141+L141</f>
        <v>305.14402598000004</v>
      </c>
      <c r="Q141" s="8">
        <f>P141/O141</f>
        <v>0.90668014374968908</v>
      </c>
    </row>
    <row r="142" spans="1:17">
      <c r="C142" s="3" t="s">
        <v>22</v>
      </c>
      <c r="E142" s="8">
        <f>E141/E135-1</f>
        <v>-3.727235626262182E-2</v>
      </c>
      <c r="F142" s="8">
        <f>F141/F135-1</f>
        <v>-7.7922216141198986E-2</v>
      </c>
      <c r="G142" s="8">
        <f>G141/G135-1</f>
        <v>-4.9186953611698447E-2</v>
      </c>
      <c r="H142" s="8">
        <f>H141/H135-1</f>
        <v>-8.977561811386725E-2</v>
      </c>
      <c r="I142" s="7"/>
      <c r="J142" s="8">
        <f>J141/J135-1</f>
        <v>0.23289936298480418</v>
      </c>
      <c r="K142" s="8">
        <f>K141/K135-1</f>
        <v>0.18084187125727813</v>
      </c>
      <c r="L142" s="8">
        <f>L141/L135-1</f>
        <v>0.23303461319303342</v>
      </c>
      <c r="M142" s="8">
        <f>M141/M135-1</f>
        <v>0.1803983684290813</v>
      </c>
      <c r="N142" s="7"/>
      <c r="O142" s="8">
        <f>O141/O135-1</f>
        <v>4.4085065913270105E-2</v>
      </c>
      <c r="P142" s="8">
        <f>P141/P135-1</f>
        <v>4.4591932835354786E-2</v>
      </c>
      <c r="Q142" s="8">
        <f>Q141/Q135-1</f>
        <v>4.8546515857061934E-4</v>
      </c>
    </row>
    <row r="143" spans="1:17">
      <c r="B143" s="3" t="str">
        <f>buu_wk!C47</f>
        <v>Q2</v>
      </c>
      <c r="C143" s="3" t="s">
        <v>20</v>
      </c>
      <c r="D143" s="3"/>
      <c r="E143" s="7">
        <f>buu_wk!D47</f>
        <v>230.42921376999999</v>
      </c>
      <c r="F143" s="8">
        <f>E143/O143</f>
        <v>0.65072900197316208</v>
      </c>
      <c r="G143" s="7">
        <f>buu_wk!E47</f>
        <v>199.97269652</v>
      </c>
      <c r="H143" s="8">
        <f>G143/P143</f>
        <v>0.61785512333844272</v>
      </c>
      <c r="J143" s="7">
        <f>buu_wk!F47</f>
        <v>123.68012064</v>
      </c>
      <c r="K143" s="8">
        <f>J143/O143</f>
        <v>0.34927099802683792</v>
      </c>
      <c r="L143" s="7">
        <f>buu_wk!G47</f>
        <v>123.68359273999999</v>
      </c>
      <c r="M143" s="8">
        <f>L143/P143</f>
        <v>0.38214487666155728</v>
      </c>
      <c r="O143" s="7">
        <f>E143+J143</f>
        <v>354.10933440999997</v>
      </c>
      <c r="P143" s="7">
        <f>G143+L143</f>
        <v>323.65628925999999</v>
      </c>
      <c r="Q143" s="8">
        <f>P143/O143</f>
        <v>0.91400100988374289</v>
      </c>
    </row>
    <row r="144" spans="1:17">
      <c r="C144" s="3" t="s">
        <v>22</v>
      </c>
      <c r="E144" s="8">
        <f>E143/E136-1</f>
        <v>-5.1354620944599083E-2</v>
      </c>
      <c r="F144" s="8">
        <f>F143/F137-1</f>
        <v>-9.4419124910631869E-2</v>
      </c>
      <c r="G144" s="8">
        <f>G143/G137-1</f>
        <v>-0.11286990772082628</v>
      </c>
      <c r="H144" s="8">
        <f>H143/H137-1</f>
        <v>-0.11477763471666091</v>
      </c>
      <c r="I144" s="7"/>
      <c r="J144" s="8">
        <f>J143/J137-1</f>
        <v>0.26798963216001748</v>
      </c>
      <c r="K144" s="8">
        <f>K143/K137-1</f>
        <v>0.24108617358389695</v>
      </c>
      <c r="L144" s="8">
        <f>L143/L137-1</f>
        <v>0.26796468120298056</v>
      </c>
      <c r="M144" s="8">
        <f>M143/M137-1</f>
        <v>0.26523798928581099</v>
      </c>
      <c r="N144" s="7"/>
      <c r="O144" s="8">
        <f>O143/O137-1</f>
        <v>2.1677349364412901E-2</v>
      </c>
      <c r="P144" s="8">
        <f>P143/P137-1</f>
        <v>2.1550822376974477E-3</v>
      </c>
      <c r="Q144" s="8">
        <f>Q143/Q137-1</f>
        <v>-1.9108055139776092E-2</v>
      </c>
    </row>
    <row r="145" spans="1:17">
      <c r="B145" s="3" t="str">
        <f>buu_wk!C48</f>
        <v>Q3</v>
      </c>
      <c r="C145" s="3" t="s">
        <v>20</v>
      </c>
      <c r="D145" s="3"/>
      <c r="E145" s="7">
        <f>buu_wk!D48</f>
        <v>225.05874238999999</v>
      </c>
      <c r="F145" s="8">
        <f>E145/O145</f>
        <v>0.65079964667871826</v>
      </c>
      <c r="G145" s="7">
        <f>buu_wk!E48</f>
        <v>195.80976903999999</v>
      </c>
      <c r="H145" s="8">
        <f>G145/P145</f>
        <v>0.61853582528111128</v>
      </c>
      <c r="J145" s="7">
        <f>buu_wk!F48</f>
        <v>120.76004153</v>
      </c>
      <c r="K145" s="8">
        <f>J145/O145</f>
        <v>0.3492003533212818</v>
      </c>
      <c r="L145" s="7">
        <f>buu_wk!G48</f>
        <v>120.76004153</v>
      </c>
      <c r="M145" s="8">
        <f>L145/P145</f>
        <v>0.38146417471888883</v>
      </c>
      <c r="O145" s="7">
        <f>E145+J145</f>
        <v>345.81878391999999</v>
      </c>
      <c r="P145" s="7">
        <f>G145+L145</f>
        <v>316.56981056999996</v>
      </c>
      <c r="Q145" s="8">
        <f>P145/O145</f>
        <v>0.91542109708891251</v>
      </c>
    </row>
    <row r="146" spans="1:17">
      <c r="C146" s="3" t="s">
        <v>22</v>
      </c>
      <c r="E146" s="8">
        <f>E145/E137-1</f>
        <v>-9.6351864211006943E-2</v>
      </c>
      <c r="F146" s="8">
        <f>F145/F139-1</f>
        <v>-8.0855813816597122E-2</v>
      </c>
      <c r="G146" s="8">
        <f>G145/G139-1</f>
        <v>-0.77078746501640583</v>
      </c>
      <c r="H146" s="8">
        <f>H145/H139-1</f>
        <v>-9.0695156739941885E-2</v>
      </c>
      <c r="I146" s="7"/>
      <c r="J146" s="8">
        <f>J145/J139-1</f>
        <v>-0.69928023340795242</v>
      </c>
      <c r="K146" s="8">
        <f>K145/K139-1</f>
        <v>0.19609467426052429</v>
      </c>
      <c r="L146" s="8">
        <f>L145/L139-1</f>
        <v>-0.69929268564963809</v>
      </c>
      <c r="M146" s="8">
        <f>M145/M139-1</f>
        <v>0.1929304711109272</v>
      </c>
      <c r="N146" s="7"/>
      <c r="O146" s="8">
        <f>O145/O139-1</f>
        <v>-0.74858197008697069</v>
      </c>
      <c r="P146" s="8">
        <f>P145/P139-1</f>
        <v>-0.74792553159420472</v>
      </c>
      <c r="Q146" s="8">
        <f>Q145/Q139-1</f>
        <v>2.6109443821233924E-3</v>
      </c>
    </row>
    <row r="147" spans="1:17">
      <c r="B147" s="3" t="str">
        <f>buu_wk!C49</f>
        <v>Q4</v>
      </c>
      <c r="C147" s="3" t="s">
        <v>20</v>
      </c>
      <c r="D147" s="3"/>
      <c r="E147" s="7">
        <f>buu_wk!D49</f>
        <v>226.78635872000001</v>
      </c>
      <c r="F147" s="8">
        <f>E147/O147</f>
        <v>0.64833017709663487</v>
      </c>
      <c r="G147" s="7">
        <f>buu_wk!E49</f>
        <v>196.32005226000001</v>
      </c>
      <c r="H147" s="8">
        <f>G147/P147</f>
        <v>0.61477609933042066</v>
      </c>
      <c r="J147" s="7">
        <f>buu_wk!F49</f>
        <v>123.01435506999999</v>
      </c>
      <c r="K147" s="8">
        <f>J147/O147</f>
        <v>0.35166982290336507</v>
      </c>
      <c r="L147" s="7">
        <f>buu_wk!G49</f>
        <v>123.01580428</v>
      </c>
      <c r="M147" s="8">
        <f>L147/P147</f>
        <v>0.38522390066957934</v>
      </c>
      <c r="O147" s="7">
        <f>E147+J147</f>
        <v>349.80071379000003</v>
      </c>
      <c r="P147" s="7">
        <f>G147+L147</f>
        <v>319.33585654000001</v>
      </c>
      <c r="Q147" s="8">
        <f>P147/O147</f>
        <v>0.91290796145061803</v>
      </c>
    </row>
    <row r="148" spans="1:17">
      <c r="B148" s="4"/>
      <c r="C148" s="4" t="s">
        <v>22</v>
      </c>
      <c r="D148" s="11"/>
      <c r="E148" s="13">
        <f>E147/E138-1</f>
        <v>-0.1164308018150978</v>
      </c>
      <c r="F148" s="13">
        <f>F147/F141-1</f>
        <v>6.0827171079971265E-3</v>
      </c>
      <c r="G148" s="13">
        <f>G147/G141-1</f>
        <v>5.8576503863915885E-2</v>
      </c>
      <c r="H148" s="13">
        <f>H147/H141-1</f>
        <v>1.1531557078392485E-2</v>
      </c>
      <c r="I148" s="12"/>
      <c r="J148" s="13">
        <f>J147/J141-1</f>
        <v>2.7912126790216041E-2</v>
      </c>
      <c r="K148" s="13">
        <f>K147/K141-1</f>
        <v>-1.102328738108016E-2</v>
      </c>
      <c r="L148" s="13">
        <f>L147/L141-1</f>
        <v>2.78093521139684E-2</v>
      </c>
      <c r="M148" s="13">
        <f>M147/M141-1</f>
        <v>-1.7868249929313795E-2</v>
      </c>
      <c r="N148" s="12"/>
      <c r="O148" s="13">
        <f>O147/O141-1</f>
        <v>3.9369394318892637E-2</v>
      </c>
      <c r="P148" s="13">
        <f>P147/P141-1</f>
        <v>4.6508629865590567E-2</v>
      </c>
      <c r="Q148" s="13">
        <f>Q147/Q141-1</f>
        <v>6.8688144808961571E-3</v>
      </c>
    </row>
    <row r="149" spans="1:17">
      <c r="B149" s="3" t="s">
        <v>21</v>
      </c>
      <c r="C149" s="3" t="s">
        <v>20</v>
      </c>
      <c r="E149" s="7">
        <f>E145+E143+E141+E147</f>
        <v>899.15122401999997</v>
      </c>
      <c r="F149" s="8">
        <f>E149/O149</f>
        <v>0.64860734652457841</v>
      </c>
      <c r="G149" s="7">
        <f>G145+G143+G141+G147</f>
        <v>777.55916790000003</v>
      </c>
      <c r="H149" s="8">
        <f>G149/P149</f>
        <v>0.61481417716961118</v>
      </c>
      <c r="I149" s="7"/>
      <c r="J149" s="7">
        <f>J145+J143+J141+J147</f>
        <v>487.12851647000002</v>
      </c>
      <c r="K149" s="8">
        <f>J149/O149</f>
        <v>0.3513926534754217</v>
      </c>
      <c r="L149" s="7">
        <f>L145+L143+L141+L147</f>
        <v>487.14681444999997</v>
      </c>
      <c r="M149" s="8">
        <f>L149/P149</f>
        <v>0.38518582283038888</v>
      </c>
      <c r="N149" s="7"/>
      <c r="O149" s="7">
        <f>O145+O143+O141+O147</f>
        <v>1386.2797404899998</v>
      </c>
      <c r="P149" s="7">
        <f>P145+P143+P141+P147</f>
        <v>1264.7059823499999</v>
      </c>
      <c r="Q149" s="8">
        <f>P149/O149</f>
        <v>0.91230214610434401</v>
      </c>
    </row>
    <row r="150" spans="1:17">
      <c r="A150" s="4"/>
      <c r="B150" s="4"/>
      <c r="C150" s="4" t="s">
        <v>22</v>
      </c>
      <c r="D150" s="11"/>
      <c r="E150" s="13">
        <f>E149/(E137+E136+E135)-1</f>
        <v>0.25363976688745948</v>
      </c>
      <c r="F150" s="13"/>
      <c r="G150" s="13">
        <f>G149/(G137+G136+G135)-1</f>
        <v>0.24011557946474626</v>
      </c>
      <c r="H150" s="13"/>
      <c r="I150" s="13"/>
      <c r="J150" s="13">
        <f>J149/(J137+J136+J135)-1</f>
        <v>0.63720750095062528</v>
      </c>
      <c r="K150" s="13"/>
      <c r="L150" s="13">
        <f>L149/(L137+L136+L135)-1</f>
        <v>0.63723794985631033</v>
      </c>
      <c r="M150" s="13"/>
      <c r="N150" s="13"/>
      <c r="O150" s="13">
        <f>O149/(O137+O136+O135)-1</f>
        <v>0.36610410032595508</v>
      </c>
      <c r="P150" s="13">
        <f>P149/(P137+P136+P135)-1</f>
        <v>0.36791924275922727</v>
      </c>
      <c r="Q150" s="13"/>
    </row>
    <row r="151" spans="1:17">
      <c r="A151" s="24" t="s">
        <v>36</v>
      </c>
    </row>
    <row r="152" spans="1:17">
      <c r="A152" s="25" t="s">
        <v>37</v>
      </c>
    </row>
    <row r="153" spans="1:17">
      <c r="A153" s="25" t="s">
        <v>38</v>
      </c>
    </row>
    <row r="154" spans="1:17">
      <c r="A154" s="26" t="s">
        <v>39</v>
      </c>
    </row>
    <row r="155" spans="1:17">
      <c r="A155" s="26" t="s">
        <v>40</v>
      </c>
    </row>
    <row r="156" spans="1:17">
      <c r="A156" s="26" t="s">
        <v>41</v>
      </c>
    </row>
  </sheetData>
  <mergeCells count="35">
    <mergeCell ref="A83:B83"/>
    <mergeCell ref="A10:C10"/>
    <mergeCell ref="E2:H2"/>
    <mergeCell ref="J2:M2"/>
    <mergeCell ref="E55:H55"/>
    <mergeCell ref="J55:M55"/>
    <mergeCell ref="E81:H81"/>
    <mergeCell ref="J29:M29"/>
    <mergeCell ref="O29:Q29"/>
    <mergeCell ref="A31:C31"/>
    <mergeCell ref="A37:C37"/>
    <mergeCell ref="A57:C57"/>
    <mergeCell ref="O2:Q2"/>
    <mergeCell ref="A4:C4"/>
    <mergeCell ref="O55:Q55"/>
    <mergeCell ref="A114:B114"/>
    <mergeCell ref="A134:B134"/>
    <mergeCell ref="E132:H132"/>
    <mergeCell ref="J132:M132"/>
    <mergeCell ref="O132:Q132"/>
    <mergeCell ref="A1:Q1"/>
    <mergeCell ref="A28:Q28"/>
    <mergeCell ref="A54:Q54"/>
    <mergeCell ref="A80:Q80"/>
    <mergeCell ref="E29:H29"/>
    <mergeCell ref="J81:M81"/>
    <mergeCell ref="O81:Q81"/>
    <mergeCell ref="E106:H106"/>
    <mergeCell ref="J106:M106"/>
    <mergeCell ref="O106:Q106"/>
    <mergeCell ref="A140:B140"/>
    <mergeCell ref="A105:Q105"/>
    <mergeCell ref="A131:Q131"/>
    <mergeCell ref="A89:B89"/>
    <mergeCell ref="A108:B108"/>
  </mergeCells>
  <phoneticPr fontId="5" type="noConversion"/>
  <printOptions horizontalCentered="1"/>
  <pageMargins left="0.35433070866141736" right="0.35433070866141736" top="0.98425196850393704" bottom="0.98425196850393704" header="0.51181102362204722" footer="0.51181102362204722"/>
  <pageSetup paperSize="9" scale="65" orientation="portrait" r:id="rId1"/>
  <headerFooter alignWithMargins="0"/>
</worksheet>
</file>

<file path=xl/worksheets/sheet19.xml><?xml version="1.0" encoding="utf-8"?>
<worksheet xmlns="http://schemas.openxmlformats.org/spreadsheetml/2006/main" xmlns:r="http://schemas.openxmlformats.org/officeDocument/2006/relationships">
  <sheetPr codeName="Sheet22"/>
  <dimension ref="A1:G63"/>
  <sheetViews>
    <sheetView zoomScale="75" workbookViewId="0">
      <pane ySplit="1" topLeftCell="A44" activePane="bottomLeft" state="frozen"/>
      <selection pane="bottomLeft" activeCell="A58" sqref="A58:G63"/>
    </sheetView>
  </sheetViews>
  <sheetFormatPr defaultColWidth="8.875" defaultRowHeight="15"/>
  <cols>
    <col min="1" max="1" width="19" style="14" bestFit="1" customWidth="1"/>
    <col min="2" max="2" width="17.5" style="14" bestFit="1" customWidth="1"/>
    <col min="3" max="3" width="12.875" style="14" bestFit="1" customWidth="1"/>
    <col min="4" max="7" width="15.5" style="14" bestFit="1" customWidth="1"/>
    <col min="8" max="16384" width="8.875" style="14"/>
  </cols>
  <sheetData>
    <row r="1" spans="1:7" ht="18.75">
      <c r="A1" s="51" t="s">
        <v>93</v>
      </c>
      <c r="B1" s="48" t="s">
        <v>0</v>
      </c>
      <c r="C1" s="47" t="s">
        <v>1</v>
      </c>
      <c r="D1" s="48" t="s">
        <v>2</v>
      </c>
      <c r="E1" s="48" t="s">
        <v>3</v>
      </c>
      <c r="F1" s="48" t="s">
        <v>4</v>
      </c>
      <c r="G1" s="48" t="s">
        <v>5</v>
      </c>
    </row>
    <row r="2" spans="1:7">
      <c r="A2" s="49">
        <v>1</v>
      </c>
      <c r="B2" s="50">
        <v>2004</v>
      </c>
      <c r="C2" s="49" t="s">
        <v>6</v>
      </c>
      <c r="D2" s="50">
        <f>18512763844/100000000</f>
        <v>185.12763844</v>
      </c>
      <c r="E2" s="50">
        <f>16442035013/100000000</f>
        <v>164.42035013</v>
      </c>
      <c r="F2" s="50">
        <f>9507756502/100000000</f>
        <v>95.077565019999994</v>
      </c>
      <c r="G2" s="50">
        <f>9507756502/100000000</f>
        <v>95.077565019999994</v>
      </c>
    </row>
    <row r="3" spans="1:7">
      <c r="A3" s="49">
        <v>1</v>
      </c>
      <c r="B3" s="50">
        <v>2004</v>
      </c>
      <c r="C3" s="49" t="s">
        <v>7</v>
      </c>
      <c r="D3" s="50">
        <f>19491990084/100000000</f>
        <v>194.91990084</v>
      </c>
      <c r="E3" s="50">
        <f>17440218879/100000000</f>
        <v>174.40218879</v>
      </c>
      <c r="F3" s="50">
        <f>9831988151/100000000</f>
        <v>98.319881510000002</v>
      </c>
      <c r="G3" s="50">
        <f>9831988151/100000000</f>
        <v>98.319881510000002</v>
      </c>
    </row>
    <row r="4" spans="1:7">
      <c r="A4" s="49">
        <v>1</v>
      </c>
      <c r="B4" s="50">
        <v>2004</v>
      </c>
      <c r="C4" s="49" t="s">
        <v>8</v>
      </c>
      <c r="D4" s="50">
        <f>20234225915/100000000</f>
        <v>202.34225914999999</v>
      </c>
      <c r="E4" s="50">
        <f>18994213054/100000000</f>
        <v>189.94213053999999</v>
      </c>
      <c r="F4" s="50">
        <f>9196658689/100000000</f>
        <v>91.966586890000002</v>
      </c>
      <c r="G4" s="50">
        <f>9196658689/100000000</f>
        <v>91.966586890000002</v>
      </c>
    </row>
    <row r="5" spans="1:7">
      <c r="A5" s="49">
        <v>1</v>
      </c>
      <c r="B5" s="50">
        <v>2004</v>
      </c>
      <c r="C5" s="49" t="s">
        <v>9</v>
      </c>
      <c r="D5" s="50">
        <f>20337107067/100000000</f>
        <v>203.37107066999999</v>
      </c>
      <c r="E5" s="50">
        <f>19039340431/100000000</f>
        <v>190.39340430999999</v>
      </c>
      <c r="F5" s="50">
        <f>9428654218/100000000</f>
        <v>94.286542179999998</v>
      </c>
      <c r="G5" s="50">
        <f>9428654218/100000000</f>
        <v>94.286542179999998</v>
      </c>
    </row>
    <row r="6" spans="1:7">
      <c r="A6" s="49">
        <v>1</v>
      </c>
      <c r="B6" s="50">
        <v>2005</v>
      </c>
      <c r="C6" s="49" t="s">
        <v>6</v>
      </c>
      <c r="D6" s="50">
        <f>15611253960/100000000</f>
        <v>156.11253959999999</v>
      </c>
      <c r="E6" s="50">
        <f>12982188786/100000000</f>
        <v>129.82188786</v>
      </c>
      <c r="F6" s="50">
        <f>11864674366/100000000</f>
        <v>118.64674366</v>
      </c>
      <c r="G6" s="50">
        <f>11864674366/100000000</f>
        <v>118.64674366</v>
      </c>
    </row>
    <row r="7" spans="1:7">
      <c r="A7" s="49">
        <v>1</v>
      </c>
      <c r="B7" s="50">
        <v>2005</v>
      </c>
      <c r="C7" s="49" t="s">
        <v>7</v>
      </c>
      <c r="D7" s="50">
        <f>16621144661/100000000</f>
        <v>166.21144661</v>
      </c>
      <c r="E7" s="50">
        <f>14430111324/100000000</f>
        <v>144.30111324000001</v>
      </c>
      <c r="F7" s="50">
        <f>12353475355/100000000</f>
        <v>123.53475355</v>
      </c>
      <c r="G7" s="50">
        <f>12353475355/100000000</f>
        <v>123.53475355</v>
      </c>
    </row>
    <row r="8" spans="1:7">
      <c r="A8" s="49">
        <v>1</v>
      </c>
      <c r="B8" s="50">
        <v>2005</v>
      </c>
      <c r="C8" s="49" t="s">
        <v>8</v>
      </c>
      <c r="D8" s="50">
        <f>16280325031/100000000</f>
        <v>162.80325031000001</v>
      </c>
      <c r="E8" s="50">
        <f>13927854347/100000000</f>
        <v>139.27854346999999</v>
      </c>
      <c r="F8" s="50">
        <f>12391969081/100000000</f>
        <v>123.91969081000001</v>
      </c>
      <c r="G8" s="50">
        <f>12391969081/100000000</f>
        <v>123.91969081000001</v>
      </c>
    </row>
    <row r="9" spans="1:7">
      <c r="A9" s="49">
        <v>1</v>
      </c>
      <c r="B9" s="50">
        <v>2005</v>
      </c>
      <c r="C9" s="49" t="s">
        <v>9</v>
      </c>
      <c r="D9" s="50">
        <f>16274791289/100000000</f>
        <v>162.74791289000001</v>
      </c>
      <c r="E9" s="50">
        <f>13864973741/100000000</f>
        <v>138.64973741</v>
      </c>
      <c r="F9" s="50">
        <f>12322939634/100000000</f>
        <v>123.22939633999999</v>
      </c>
      <c r="G9" s="50">
        <f>12322939634/100000000</f>
        <v>123.22939633999999</v>
      </c>
    </row>
    <row r="10" spans="1:7">
      <c r="A10" s="49">
        <v>2</v>
      </c>
      <c r="B10" s="50">
        <v>2004</v>
      </c>
      <c r="C10" s="49" t="s">
        <v>6</v>
      </c>
      <c r="D10" s="50">
        <f>17793448781/100000000</f>
        <v>177.93448781000001</v>
      </c>
      <c r="E10" s="50">
        <f>14995327196/100000000</f>
        <v>149.95327196</v>
      </c>
      <c r="F10" s="50">
        <f>7283023369/100000000</f>
        <v>72.83023369</v>
      </c>
      <c r="G10" s="50">
        <f>7283023369/100000000</f>
        <v>72.83023369</v>
      </c>
    </row>
    <row r="11" spans="1:7">
      <c r="A11" s="49">
        <v>2</v>
      </c>
      <c r="B11" s="50">
        <v>2004</v>
      </c>
      <c r="C11" s="49" t="s">
        <v>7</v>
      </c>
      <c r="D11" s="50">
        <f>19098669483/100000000</f>
        <v>190.98669483</v>
      </c>
      <c r="E11" s="50">
        <f>15978860969/100000000</f>
        <v>159.78860968999999</v>
      </c>
      <c r="F11" s="50">
        <f>7587678849/100000000</f>
        <v>75.876788489999996</v>
      </c>
      <c r="G11" s="50">
        <f>7587678849/100000000</f>
        <v>75.876788489999996</v>
      </c>
    </row>
    <row r="12" spans="1:7">
      <c r="A12" s="49">
        <v>2</v>
      </c>
      <c r="B12" s="50">
        <v>2004</v>
      </c>
      <c r="C12" s="49" t="s">
        <v>8</v>
      </c>
      <c r="D12" s="50">
        <f>19254995345/100000000</f>
        <v>192.54995345</v>
      </c>
      <c r="E12" s="50">
        <f>16795324395/100000000</f>
        <v>167.95324395</v>
      </c>
      <c r="F12" s="50">
        <f>6984006344/100000000</f>
        <v>69.840063439999994</v>
      </c>
      <c r="G12" s="50">
        <f>6984006344/100000000</f>
        <v>69.840063439999994</v>
      </c>
    </row>
    <row r="13" spans="1:7">
      <c r="A13" s="49">
        <v>2</v>
      </c>
      <c r="B13" s="50">
        <v>2004</v>
      </c>
      <c r="C13" s="49" t="s">
        <v>9</v>
      </c>
      <c r="D13" s="50">
        <f>19760871108/100000000</f>
        <v>197.60871108000001</v>
      </c>
      <c r="E13" s="50">
        <f>17047166424/100000000</f>
        <v>170.47166424</v>
      </c>
      <c r="F13" s="50">
        <f>7149863616/100000000</f>
        <v>71.498636160000004</v>
      </c>
      <c r="G13" s="50">
        <f>7149863616/100000000</f>
        <v>71.498636160000004</v>
      </c>
    </row>
    <row r="14" spans="1:7">
      <c r="A14" s="49">
        <v>2</v>
      </c>
      <c r="B14" s="50">
        <v>2005</v>
      </c>
      <c r="C14" s="49" t="s">
        <v>6</v>
      </c>
      <c r="D14" s="50">
        <f>16452759287/100000000</f>
        <v>164.52759287000001</v>
      </c>
      <c r="E14" s="50">
        <f>13970400931/100000000</f>
        <v>139.70400931</v>
      </c>
      <c r="F14" s="50">
        <f>9673493536/100000000</f>
        <v>96.734935359999994</v>
      </c>
      <c r="G14" s="50">
        <f>9673493536/100000000</f>
        <v>96.734935359999994</v>
      </c>
    </row>
    <row r="15" spans="1:7">
      <c r="A15" s="49">
        <v>2</v>
      </c>
      <c r="B15" s="50">
        <v>2005</v>
      </c>
      <c r="C15" s="49" t="s">
        <v>7</v>
      </c>
      <c r="D15" s="50">
        <f>17516503619/100000000</f>
        <v>175.16503619</v>
      </c>
      <c r="E15" s="50">
        <f>15276772586/100000000</f>
        <v>152.76772586000001</v>
      </c>
      <c r="F15" s="50">
        <f>10025036831/100000000</f>
        <v>100.25036831</v>
      </c>
      <c r="G15" s="50">
        <f>10025036831/100000000</f>
        <v>100.25036831</v>
      </c>
    </row>
    <row r="16" spans="1:7">
      <c r="A16" s="49">
        <v>2</v>
      </c>
      <c r="B16" s="50">
        <v>2005</v>
      </c>
      <c r="C16" s="49" t="s">
        <v>8</v>
      </c>
      <c r="D16" s="50">
        <f>17130937483/100000000</f>
        <v>171.30937483</v>
      </c>
      <c r="E16" s="50">
        <f>14688238420/100000000</f>
        <v>146.88238419999999</v>
      </c>
      <c r="F16" s="50">
        <f>10045982160/100000000</f>
        <v>100.4598216</v>
      </c>
      <c r="G16" s="50">
        <f>10045982160/100000000</f>
        <v>100.4598216</v>
      </c>
    </row>
    <row r="17" spans="1:7">
      <c r="A17" s="49">
        <v>2</v>
      </c>
      <c r="B17" s="50">
        <v>2005</v>
      </c>
      <c r="C17" s="49" t="s">
        <v>9</v>
      </c>
      <c r="D17" s="50">
        <f>17043697110/100000000</f>
        <v>170.43697109999999</v>
      </c>
      <c r="E17" s="50">
        <f>14681179682/100000000</f>
        <v>146.81179682000001</v>
      </c>
      <c r="F17" s="50">
        <f>9978995418/100000000</f>
        <v>99.789954179999995</v>
      </c>
      <c r="G17" s="50">
        <f>9978995418/100000000</f>
        <v>99.789954179999995</v>
      </c>
    </row>
    <row r="18" spans="1:7">
      <c r="A18" s="49">
        <v>3</v>
      </c>
      <c r="B18" s="50">
        <v>2004</v>
      </c>
      <c r="C18" s="49" t="s">
        <v>6</v>
      </c>
      <c r="D18" s="50">
        <f>11536974032/100000000</f>
        <v>115.36974032000001</v>
      </c>
      <c r="E18" s="50">
        <f>9502737893/100000000</f>
        <v>95.027378929999998</v>
      </c>
      <c r="F18" s="50">
        <f>3603041164/100000000</f>
        <v>36.030411639999997</v>
      </c>
      <c r="G18" s="50">
        <f>3603041164/100000000</f>
        <v>36.030411639999997</v>
      </c>
    </row>
    <row r="19" spans="1:7">
      <c r="A19" s="49">
        <v>3</v>
      </c>
      <c r="B19" s="50">
        <v>2004</v>
      </c>
      <c r="C19" s="49" t="s">
        <v>7</v>
      </c>
      <c r="D19" s="50">
        <f>12353012679/100000000</f>
        <v>123.53012679</v>
      </c>
      <c r="E19" s="50">
        <f>10115244224/100000000</f>
        <v>101.15244224</v>
      </c>
      <c r="F19" s="50">
        <f>3701815187/100000000</f>
        <v>37.018151869999997</v>
      </c>
      <c r="G19" s="50">
        <f>3701815187/100000000</f>
        <v>37.018151869999997</v>
      </c>
    </row>
    <row r="20" spans="1:7">
      <c r="A20" s="49">
        <v>3</v>
      </c>
      <c r="B20" s="50">
        <v>2004</v>
      </c>
      <c r="C20" s="49" t="s">
        <v>8</v>
      </c>
      <c r="D20" s="50">
        <f>12664597499/100000000</f>
        <v>126.64597499</v>
      </c>
      <c r="E20" s="50">
        <f>10603327029/100000000</f>
        <v>106.03327029</v>
      </c>
      <c r="F20" s="50">
        <f>3669857855/100000000</f>
        <v>36.698578550000001</v>
      </c>
      <c r="G20" s="50">
        <f>3669857855/100000000</f>
        <v>36.698578550000001</v>
      </c>
    </row>
    <row r="21" spans="1:7">
      <c r="A21" s="49">
        <v>3</v>
      </c>
      <c r="B21" s="50">
        <v>2004</v>
      </c>
      <c r="C21" s="49" t="s">
        <v>9</v>
      </c>
      <c r="D21" s="50">
        <f>12787129510/100000000</f>
        <v>127.8712951</v>
      </c>
      <c r="E21" s="50">
        <f>10571237617/100000000</f>
        <v>105.71237617</v>
      </c>
      <c r="F21" s="50">
        <f>3754658187/100000000</f>
        <v>37.546581869999997</v>
      </c>
      <c r="G21" s="50">
        <f>3754658187/100000000</f>
        <v>37.546581869999997</v>
      </c>
    </row>
    <row r="22" spans="1:7">
      <c r="A22" s="49">
        <v>3</v>
      </c>
      <c r="B22" s="50">
        <v>2005</v>
      </c>
      <c r="C22" s="49" t="s">
        <v>6</v>
      </c>
      <c r="D22" s="50">
        <f>11265009879/100000000</f>
        <v>112.65009879</v>
      </c>
      <c r="E22" s="50">
        <f>9596873635/100000000</f>
        <v>95.96873635</v>
      </c>
      <c r="F22" s="50">
        <f>5152958794/100000000</f>
        <v>51.529587939999999</v>
      </c>
      <c r="G22" s="50">
        <f>5152958794/100000000</f>
        <v>51.529587939999999</v>
      </c>
    </row>
    <row r="23" spans="1:7">
      <c r="A23" s="49">
        <v>3</v>
      </c>
      <c r="B23" s="50">
        <v>2005</v>
      </c>
      <c r="C23" s="49" t="s">
        <v>7</v>
      </c>
      <c r="D23" s="50">
        <f>11710314598/100000000</f>
        <v>117.10314597999999</v>
      </c>
      <c r="E23" s="50">
        <f>10215337932/100000000</f>
        <v>102.15337932</v>
      </c>
      <c r="F23" s="50">
        <f>5295014781/100000000</f>
        <v>52.950147809999997</v>
      </c>
      <c r="G23" s="50">
        <f>5295014781/100000000</f>
        <v>52.950147809999997</v>
      </c>
    </row>
    <row r="24" spans="1:7">
      <c r="A24" s="49">
        <v>3</v>
      </c>
      <c r="B24" s="50">
        <v>2005</v>
      </c>
      <c r="C24" s="49" t="s">
        <v>8</v>
      </c>
      <c r="D24" s="50">
        <f>11656468264/100000000</f>
        <v>116.56468264</v>
      </c>
      <c r="E24" s="50">
        <f>10016953420/100000000</f>
        <v>100.1695342</v>
      </c>
      <c r="F24" s="50">
        <f>5238988263/100000000</f>
        <v>52.389882630000002</v>
      </c>
      <c r="G24" s="50">
        <f>5238988263/100000000</f>
        <v>52.389882630000002</v>
      </c>
    </row>
    <row r="25" spans="1:7">
      <c r="A25" s="49">
        <v>3</v>
      </c>
      <c r="B25" s="50">
        <v>2005</v>
      </c>
      <c r="C25" s="49" t="s">
        <v>9</v>
      </c>
      <c r="D25" s="50">
        <f>11595637365/100000000</f>
        <v>115.95637365</v>
      </c>
      <c r="E25" s="50">
        <f>9987583108/100000000</f>
        <v>99.875831079999998</v>
      </c>
      <c r="F25" s="50">
        <f>5278571205/100000000</f>
        <v>52.785712050000001</v>
      </c>
      <c r="G25" s="50">
        <f>5278571205/100000000</f>
        <v>52.785712050000001</v>
      </c>
    </row>
    <row r="26" spans="1:7">
      <c r="A26" s="49">
        <v>4</v>
      </c>
      <c r="B26" s="50">
        <v>2004</v>
      </c>
      <c r="C26" s="49" t="s">
        <v>6</v>
      </c>
      <c r="D26" s="50">
        <f>24701056163/100000000</f>
        <v>247.01056163000001</v>
      </c>
      <c r="E26" s="50">
        <f>22516766125/100000000</f>
        <v>225.16766125000001</v>
      </c>
      <c r="F26" s="50">
        <f>5651790045/100000000</f>
        <v>56.517900449999999</v>
      </c>
      <c r="G26" s="50">
        <f>5656944422/100000000</f>
        <v>56.569444220000001</v>
      </c>
    </row>
    <row r="27" spans="1:7">
      <c r="A27" s="49">
        <v>4</v>
      </c>
      <c r="B27" s="50">
        <v>2004</v>
      </c>
      <c r="C27" s="49" t="s">
        <v>7</v>
      </c>
      <c r="D27" s="50">
        <f>25606244657/100000000</f>
        <v>256.06244657000002</v>
      </c>
      <c r="E27" s="50">
        <f>23295586554/100000000</f>
        <v>232.95586553999999</v>
      </c>
      <c r="F27" s="50">
        <f>5712006676/100000000</f>
        <v>57.12006676</v>
      </c>
      <c r="G27" s="50">
        <f>5718302975/100000000</f>
        <v>57.183029750000003</v>
      </c>
    </row>
    <row r="28" spans="1:7">
      <c r="A28" s="49">
        <v>4</v>
      </c>
      <c r="B28" s="50">
        <v>2004</v>
      </c>
      <c r="C28" s="49" t="s">
        <v>8</v>
      </c>
      <c r="D28" s="50">
        <f>26297286820/100000000</f>
        <v>262.97286819999999</v>
      </c>
      <c r="E28" s="50">
        <f>22997489962/100000000</f>
        <v>229.97489962</v>
      </c>
      <c r="F28" s="50">
        <f>5822641828/100000000</f>
        <v>58.226418279999997</v>
      </c>
      <c r="G28" s="50">
        <f>5837385606/100000000</f>
        <v>58.373856060000001</v>
      </c>
    </row>
    <row r="29" spans="1:7">
      <c r="A29" s="49">
        <v>4</v>
      </c>
      <c r="B29" s="50">
        <v>2004</v>
      </c>
      <c r="C29" s="49" t="s">
        <v>9</v>
      </c>
      <c r="D29" s="50">
        <f>28014531170/100000000</f>
        <v>280.14531169999998</v>
      </c>
      <c r="E29" s="50">
        <f>23489821958/100000000</f>
        <v>234.89821957999999</v>
      </c>
      <c r="F29" s="50">
        <f>6421383285/100000000</f>
        <v>64.213832850000003</v>
      </c>
      <c r="G29" s="50">
        <f>6438756924/100000000</f>
        <v>64.387569240000005</v>
      </c>
    </row>
    <row r="30" spans="1:7">
      <c r="A30" s="49">
        <v>4</v>
      </c>
      <c r="B30" s="50">
        <v>2005</v>
      </c>
      <c r="C30" s="49" t="s">
        <v>6</v>
      </c>
      <c r="D30" s="50">
        <f>26623094485/100000000</f>
        <v>266.23094485000001</v>
      </c>
      <c r="E30" s="50">
        <f>22332595510/100000000</f>
        <v>223.32595509999999</v>
      </c>
      <c r="F30" s="50">
        <f>6194619691/100000000</f>
        <v>61.946196909999998</v>
      </c>
      <c r="G30" s="50">
        <f>6208087483/100000000</f>
        <v>62.080874829999999</v>
      </c>
    </row>
    <row r="31" spans="1:7">
      <c r="A31" s="49">
        <v>4</v>
      </c>
      <c r="B31" s="50">
        <v>2005</v>
      </c>
      <c r="C31" s="49" t="s">
        <v>7</v>
      </c>
      <c r="D31" s="50">
        <f>27412733483/100000000</f>
        <v>274.12733483</v>
      </c>
      <c r="E31" s="50">
        <f>23540174170/100000000</f>
        <v>235.4017417</v>
      </c>
      <c r="F31" s="50">
        <f>5985921624/100000000</f>
        <v>59.859216240000002</v>
      </c>
      <c r="G31" s="50">
        <f>6000961987/100000000</f>
        <v>60.009619870000002</v>
      </c>
    </row>
    <row r="32" spans="1:7">
      <c r="A32" s="49">
        <v>4</v>
      </c>
      <c r="B32" s="50">
        <v>2005</v>
      </c>
      <c r="C32" s="49" t="s">
        <v>8</v>
      </c>
      <c r="D32" s="50">
        <f>26711167888/100000000</f>
        <v>267.11167888</v>
      </c>
      <c r="E32" s="50">
        <f>24024409190/100000000</f>
        <v>240.2440919</v>
      </c>
      <c r="F32" s="50">
        <f>5511742196/100000000</f>
        <v>55.117421960000001</v>
      </c>
      <c r="G32" s="50">
        <f>5530745645/100000000</f>
        <v>55.307456449999997</v>
      </c>
    </row>
    <row r="33" spans="1:7">
      <c r="A33" s="49">
        <v>4</v>
      </c>
      <c r="B33" s="50">
        <v>2005</v>
      </c>
      <c r="C33" s="49" t="s">
        <v>9</v>
      </c>
      <c r="D33" s="50">
        <f>27600037664/100000000</f>
        <v>276.00037664000001</v>
      </c>
      <c r="E33" s="50">
        <f>24980524502/100000000</f>
        <v>249.80524502</v>
      </c>
      <c r="F33" s="50">
        <f>5853923967/100000000</f>
        <v>58.539239670000001</v>
      </c>
      <c r="G33" s="50">
        <f>5874009880/100000000</f>
        <v>58.740098799999998</v>
      </c>
    </row>
    <row r="34" spans="1:7">
      <c r="A34" s="49">
        <v>5</v>
      </c>
      <c r="B34" s="50">
        <v>2004</v>
      </c>
      <c r="C34" s="49" t="s">
        <v>6</v>
      </c>
      <c r="D34" s="50">
        <f>98965143/100000000</f>
        <v>0.98965143</v>
      </c>
      <c r="E34" s="50">
        <f>76005603/100000000</f>
        <v>0.76005602999999999</v>
      </c>
      <c r="F34" s="50">
        <f>2601469119/100000000</f>
        <v>26.014691190000001</v>
      </c>
      <c r="G34" s="50">
        <f>2601469119/100000000</f>
        <v>26.014691190000001</v>
      </c>
    </row>
    <row r="35" spans="1:7">
      <c r="A35" s="49">
        <v>5</v>
      </c>
      <c r="B35" s="50">
        <v>2004</v>
      </c>
      <c r="C35" s="49" t="s">
        <v>7</v>
      </c>
      <c r="D35" s="50">
        <f>129623079/100000000</f>
        <v>1.2962307900000001</v>
      </c>
      <c r="E35" s="50">
        <f>99601111/100000000</f>
        <v>0.99601110999999998</v>
      </c>
      <c r="F35" s="50">
        <f>2674819821/100000000</f>
        <v>26.748198210000002</v>
      </c>
      <c r="G35" s="50">
        <f>2674819821/100000000</f>
        <v>26.748198210000002</v>
      </c>
    </row>
    <row r="36" spans="1:7">
      <c r="A36" s="49">
        <v>5</v>
      </c>
      <c r="B36" s="50">
        <v>2004</v>
      </c>
      <c r="C36" s="49" t="s">
        <v>8</v>
      </c>
      <c r="D36" s="50">
        <f>139976255/100000000</f>
        <v>1.3997625499999999</v>
      </c>
      <c r="E36" s="50">
        <f>100677849/100000000</f>
        <v>1.0067784900000001</v>
      </c>
      <c r="F36" s="50">
        <f>2896632192/100000000</f>
        <v>28.966321919999999</v>
      </c>
      <c r="G36" s="50">
        <f>2896632192/100000000</f>
        <v>28.966321919999999</v>
      </c>
    </row>
    <row r="37" spans="1:7">
      <c r="A37" s="49">
        <v>5</v>
      </c>
      <c r="B37" s="50">
        <v>2004</v>
      </c>
      <c r="C37" s="49" t="s">
        <v>9</v>
      </c>
      <c r="D37" s="50">
        <f>161041334/100000000</f>
        <v>1.61041334</v>
      </c>
      <c r="E37" s="50">
        <f>105355486/100000000</f>
        <v>1.05355486</v>
      </c>
      <c r="F37" s="50">
        <f>3333617088/100000000</f>
        <v>33.336170879999997</v>
      </c>
      <c r="G37" s="50">
        <f>3333617088/100000000</f>
        <v>33.336170879999997</v>
      </c>
    </row>
    <row r="38" spans="1:7">
      <c r="A38" s="49">
        <v>5</v>
      </c>
      <c r="B38" s="50">
        <v>2005</v>
      </c>
      <c r="C38" s="49" t="s">
        <v>6</v>
      </c>
      <c r="D38" s="50">
        <f>137855528/100000000</f>
        <v>1.37855528</v>
      </c>
      <c r="E38" s="50">
        <f>102641664/100000000</f>
        <v>1.0264166400000001</v>
      </c>
      <c r="F38" s="50">
        <f>3606406477/100000000</f>
        <v>36.064064770000002</v>
      </c>
      <c r="G38" s="50">
        <f>3606406477/100000000</f>
        <v>36.064064770000002</v>
      </c>
    </row>
    <row r="39" spans="1:7">
      <c r="A39" s="49">
        <v>5</v>
      </c>
      <c r="B39" s="50">
        <v>2005</v>
      </c>
      <c r="C39" s="49" t="s">
        <v>7</v>
      </c>
      <c r="D39" s="50">
        <f>148213275/100000000</f>
        <v>1.4821327500000001</v>
      </c>
      <c r="E39" s="50">
        <f>114181449/100000000</f>
        <v>1.14181449</v>
      </c>
      <c r="F39" s="50">
        <f>3601455814/100000000</f>
        <v>36.014558139999998</v>
      </c>
      <c r="G39" s="50">
        <f>3601455814/100000000</f>
        <v>36.014558139999998</v>
      </c>
    </row>
    <row r="40" spans="1:7">
      <c r="A40" s="49">
        <v>5</v>
      </c>
      <c r="B40" s="50">
        <v>2005</v>
      </c>
      <c r="C40" s="49" t="s">
        <v>8</v>
      </c>
      <c r="D40" s="50">
        <f>126693226/100000000</f>
        <v>1.2669322599999999</v>
      </c>
      <c r="E40" s="50">
        <f>102623504/100000000</f>
        <v>1.02623504</v>
      </c>
      <c r="F40" s="50">
        <f>3500999745/100000000</f>
        <v>35.00999745</v>
      </c>
      <c r="G40" s="50">
        <f>3500999745/100000000</f>
        <v>35.00999745</v>
      </c>
    </row>
    <row r="41" spans="1:7">
      <c r="A41" s="49">
        <v>5</v>
      </c>
      <c r="B41" s="50">
        <v>2005</v>
      </c>
      <c r="C41" s="49" t="s">
        <v>9</v>
      </c>
      <c r="D41" s="50">
        <f>125744615/100000000</f>
        <v>1.25744615</v>
      </c>
      <c r="E41" s="50">
        <f>101907075/100000000</f>
        <v>1.01907075</v>
      </c>
      <c r="F41" s="50">
        <f>3842532676/100000000</f>
        <v>38.425326759999997</v>
      </c>
      <c r="G41" s="50">
        <f>3842532676/100000000</f>
        <v>38.425326759999997</v>
      </c>
    </row>
    <row r="42" spans="1:7">
      <c r="A42" s="57">
        <v>1</v>
      </c>
      <c r="B42" s="58">
        <v>2006</v>
      </c>
      <c r="C42" s="58" t="s">
        <v>6</v>
      </c>
      <c r="D42" s="58">
        <f>15996726992/100000000</f>
        <v>159.96726992000001</v>
      </c>
      <c r="E42" s="58">
        <f>14033445552/100000000</f>
        <v>140.33445552000001</v>
      </c>
      <c r="F42" s="58">
        <f>12161103873/100000000</f>
        <v>121.61103873</v>
      </c>
      <c r="G42" s="59">
        <f>12161103873/100000000</f>
        <v>121.61103873</v>
      </c>
    </row>
    <row r="43" spans="1:7">
      <c r="A43" s="57">
        <v>2</v>
      </c>
      <c r="B43" s="58">
        <v>2006</v>
      </c>
      <c r="C43" s="58" t="s">
        <v>6</v>
      </c>
      <c r="D43" s="58">
        <f>16193414261/100000000</f>
        <v>161.93414261000001</v>
      </c>
      <c r="E43" s="58">
        <f>14483026981/100000000</f>
        <v>144.83026981</v>
      </c>
      <c r="F43" s="58">
        <f>9605692102/100000000</f>
        <v>96.056921020000004</v>
      </c>
      <c r="G43" s="59">
        <f>9605710469/100000000</f>
        <v>96.057104690000003</v>
      </c>
    </row>
    <row r="44" spans="1:7">
      <c r="A44" s="57">
        <v>3</v>
      </c>
      <c r="B44" s="58">
        <v>2006</v>
      </c>
      <c r="C44" s="58" t="s">
        <v>6</v>
      </c>
      <c r="D44" s="58">
        <f>11104703809/100000000</f>
        <v>111.04703809</v>
      </c>
      <c r="E44" s="58">
        <f>9969540482/100000000</f>
        <v>99.695404819999993</v>
      </c>
      <c r="F44" s="58">
        <f>5155661123/100000000</f>
        <v>51.556611230000001</v>
      </c>
      <c r="G44" s="59">
        <f>5155673783/100000000</f>
        <v>51.556737830000003</v>
      </c>
    </row>
    <row r="45" spans="1:7">
      <c r="A45" s="57">
        <v>4</v>
      </c>
      <c r="B45" s="58">
        <v>2006</v>
      </c>
      <c r="C45" s="58" t="s">
        <v>6</v>
      </c>
      <c r="D45" s="58">
        <f>26259233724/100000000</f>
        <v>262.59233724000001</v>
      </c>
      <c r="E45" s="58">
        <f>23932600422/100000000</f>
        <v>239.32600421999999</v>
      </c>
      <c r="F45" s="58">
        <f>5530593184/100000000</f>
        <v>55.30593184</v>
      </c>
      <c r="G45" s="59">
        <f>5534468305/100000000</f>
        <v>55.34468305</v>
      </c>
    </row>
    <row r="46" spans="1:7" ht="15.75" thickBot="1">
      <c r="A46" s="60">
        <v>5</v>
      </c>
      <c r="B46" s="61">
        <v>2006</v>
      </c>
      <c r="C46" s="61" t="s">
        <v>6</v>
      </c>
      <c r="D46" s="61">
        <f>104698207/100000000</f>
        <v>1.0469820700000001</v>
      </c>
      <c r="E46" s="61">
        <f>88873979/100000000</f>
        <v>0.88873979000000003</v>
      </c>
      <c r="F46" s="61">
        <f>3803663079/100000000</f>
        <v>38.036630789999997</v>
      </c>
      <c r="G46" s="62">
        <f>3803663079/100000000</f>
        <v>38.036630789999997</v>
      </c>
    </row>
    <row r="47" spans="1:7">
      <c r="A47" s="76">
        <v>1</v>
      </c>
      <c r="B47" s="77">
        <v>2006</v>
      </c>
      <c r="C47" s="77" t="s">
        <v>7</v>
      </c>
      <c r="D47" s="77">
        <v>171.26157671999999</v>
      </c>
      <c r="E47" s="77">
        <v>153.41612158000001</v>
      </c>
      <c r="F47" s="77">
        <v>129.71683100999999</v>
      </c>
      <c r="G47" s="78">
        <v>129.71683100999999</v>
      </c>
    </row>
    <row r="48" spans="1:7">
      <c r="A48" s="76">
        <v>2</v>
      </c>
      <c r="B48" s="77">
        <v>2006</v>
      </c>
      <c r="C48" s="77" t="s">
        <v>7</v>
      </c>
      <c r="D48" s="77">
        <v>172.15057404999999</v>
      </c>
      <c r="E48" s="77">
        <v>155.83798948</v>
      </c>
      <c r="F48" s="77">
        <v>101.95816015</v>
      </c>
      <c r="G48" s="78">
        <v>101.96021574</v>
      </c>
    </row>
    <row r="49" spans="1:7">
      <c r="A49" s="76">
        <v>3</v>
      </c>
      <c r="B49" s="77">
        <v>2006</v>
      </c>
      <c r="C49" s="77" t="s">
        <v>7</v>
      </c>
      <c r="D49" s="77">
        <v>115.58602505</v>
      </c>
      <c r="E49" s="77">
        <v>105.44401101</v>
      </c>
      <c r="F49" s="77">
        <v>53.904465639999998</v>
      </c>
      <c r="G49" s="78">
        <v>53.904598759999999</v>
      </c>
    </row>
    <row r="50" spans="1:7">
      <c r="A50" s="69">
        <v>4</v>
      </c>
      <c r="B50" s="70">
        <v>2006</v>
      </c>
      <c r="C50" s="70" t="s">
        <v>7</v>
      </c>
      <c r="D50" s="70">
        <v>267.70256520999999</v>
      </c>
      <c r="E50" s="70">
        <v>253.64874696999999</v>
      </c>
      <c r="F50" s="70">
        <v>56.847332010000002</v>
      </c>
      <c r="G50" s="71">
        <v>55.924763059999997</v>
      </c>
    </row>
    <row r="51" spans="1:7" ht="15.75" thickBot="1">
      <c r="A51" s="72">
        <v>5</v>
      </c>
      <c r="B51" s="73">
        <v>2006</v>
      </c>
      <c r="C51" s="73" t="s">
        <v>7</v>
      </c>
      <c r="D51" s="73">
        <v>1.1430023499999999</v>
      </c>
      <c r="E51" s="73">
        <v>1.02678797</v>
      </c>
      <c r="F51" s="73">
        <v>36.100042860000002</v>
      </c>
      <c r="G51" s="74">
        <v>36.100042860000002</v>
      </c>
    </row>
    <row r="52" spans="1:7" ht="16.5">
      <c r="A52" s="81" t="s">
        <v>93</v>
      </c>
      <c r="B52" s="79" t="s">
        <v>0</v>
      </c>
      <c r="C52" s="79" t="s">
        <v>1</v>
      </c>
      <c r="D52" s="79" t="s">
        <v>2</v>
      </c>
      <c r="E52" s="79" t="s">
        <v>3</v>
      </c>
      <c r="F52" s="79" t="s">
        <v>4</v>
      </c>
      <c r="G52" s="80" t="s">
        <v>5</v>
      </c>
    </row>
    <row r="53" spans="1:7">
      <c r="A53" s="57">
        <v>1</v>
      </c>
      <c r="B53" s="58">
        <v>2006</v>
      </c>
      <c r="C53" s="58" t="s">
        <v>8</v>
      </c>
      <c r="D53" s="58">
        <v>174.10005035</v>
      </c>
      <c r="E53" s="58">
        <v>153.15512103</v>
      </c>
      <c r="F53" s="58">
        <v>133.12079836999999</v>
      </c>
      <c r="G53" s="59">
        <v>133.12079836999999</v>
      </c>
    </row>
    <row r="54" spans="1:7">
      <c r="A54" s="57">
        <v>2</v>
      </c>
      <c r="B54" s="58">
        <v>2006</v>
      </c>
      <c r="C54" s="58" t="s">
        <v>8</v>
      </c>
      <c r="D54" s="58">
        <v>163.54599929</v>
      </c>
      <c r="E54" s="58">
        <v>145.73593083</v>
      </c>
      <c r="F54" s="58">
        <v>98.283121949999995</v>
      </c>
      <c r="G54" s="59">
        <v>98.283164200000002</v>
      </c>
    </row>
    <row r="55" spans="1:7">
      <c r="A55" s="57">
        <v>3</v>
      </c>
      <c r="B55" s="58">
        <v>2006</v>
      </c>
      <c r="C55" s="58" t="s">
        <v>8</v>
      </c>
      <c r="D55" s="58">
        <v>116.96024235</v>
      </c>
      <c r="E55" s="58">
        <v>105.13567925</v>
      </c>
      <c r="F55" s="58">
        <v>55.743183109999997</v>
      </c>
      <c r="G55" s="59">
        <v>55.743347499999999</v>
      </c>
    </row>
    <row r="56" spans="1:7">
      <c r="A56" s="57">
        <v>4</v>
      </c>
      <c r="B56" s="58">
        <v>2006</v>
      </c>
      <c r="C56" s="58" t="s">
        <v>8</v>
      </c>
      <c r="D56" s="58">
        <v>269.04412717999998</v>
      </c>
      <c r="E56" s="58">
        <v>248.57252556</v>
      </c>
      <c r="F56" s="58">
        <v>58.649786829999996</v>
      </c>
      <c r="G56" s="59">
        <v>57.6161557</v>
      </c>
    </row>
    <row r="57" spans="1:7" ht="15.75" thickBot="1">
      <c r="A57" s="60">
        <v>5</v>
      </c>
      <c r="B57" s="61">
        <v>2006</v>
      </c>
      <c r="C57" s="61" t="s">
        <v>8</v>
      </c>
      <c r="D57" s="61">
        <v>1.25947141</v>
      </c>
      <c r="E57" s="61">
        <v>1.0909117699999999</v>
      </c>
      <c r="F57" s="61">
        <v>35.265860779999997</v>
      </c>
      <c r="G57" s="62">
        <v>35.265860779999997</v>
      </c>
    </row>
    <row r="58" spans="1:7" ht="16.5">
      <c r="A58" s="81" t="s">
        <v>93</v>
      </c>
      <c r="B58" s="79" t="s">
        <v>0</v>
      </c>
      <c r="C58" s="79" t="s">
        <v>1</v>
      </c>
      <c r="D58" s="79" t="s">
        <v>2</v>
      </c>
      <c r="E58" s="79" t="s">
        <v>3</v>
      </c>
      <c r="F58" s="79" t="s">
        <v>4</v>
      </c>
      <c r="G58" s="80" t="s">
        <v>5</v>
      </c>
    </row>
    <row r="59" spans="1:7">
      <c r="A59" s="57">
        <v>1</v>
      </c>
      <c r="B59" s="58">
        <v>2006</v>
      </c>
      <c r="C59" s="58" t="s">
        <v>9</v>
      </c>
      <c r="D59" s="58">
        <v>176.19807814000001</v>
      </c>
      <c r="E59" s="58">
        <v>158.59373625000001</v>
      </c>
      <c r="F59" s="58">
        <v>131.72191708</v>
      </c>
      <c r="G59" s="59">
        <v>131.72191708</v>
      </c>
    </row>
    <row r="60" spans="1:7">
      <c r="A60" s="57">
        <v>2</v>
      </c>
      <c r="B60" s="58">
        <v>2006</v>
      </c>
      <c r="C60" s="58" t="s">
        <v>9</v>
      </c>
      <c r="D60" s="58">
        <v>165.69103687</v>
      </c>
      <c r="E60" s="58">
        <v>151.77162238</v>
      </c>
      <c r="F60" s="58">
        <v>96.797621930000005</v>
      </c>
      <c r="G60" s="59">
        <v>96.800780639999999</v>
      </c>
    </row>
    <row r="61" spans="1:7">
      <c r="A61" s="57">
        <v>3</v>
      </c>
      <c r="B61" s="58">
        <v>2006</v>
      </c>
      <c r="C61" s="58" t="s">
        <v>9</v>
      </c>
      <c r="D61" s="58">
        <v>118.41233762</v>
      </c>
      <c r="E61" s="58">
        <v>109.19537301</v>
      </c>
      <c r="F61" s="58">
        <v>55.112267629999998</v>
      </c>
      <c r="G61" s="59">
        <v>55.112616420000002</v>
      </c>
    </row>
    <row r="62" spans="1:7">
      <c r="A62" s="57">
        <v>4</v>
      </c>
      <c r="B62" s="58">
        <v>2006</v>
      </c>
      <c r="C62" s="58" t="s">
        <v>9</v>
      </c>
      <c r="D62" s="58">
        <v>276.63267844000001</v>
      </c>
      <c r="E62" s="58">
        <v>260.12157010999999</v>
      </c>
      <c r="F62" s="58">
        <v>61.485941910000001</v>
      </c>
      <c r="G62" s="59">
        <v>60.458560179999999</v>
      </c>
    </row>
    <row r="63" spans="1:7" ht="15.75" thickBot="1">
      <c r="A63" s="60">
        <v>5</v>
      </c>
      <c r="B63" s="61">
        <v>2006</v>
      </c>
      <c r="C63" s="61" t="s">
        <v>9</v>
      </c>
      <c r="D63" s="61">
        <v>1.2973138799999999</v>
      </c>
      <c r="E63" s="61">
        <v>1.1477537900000001</v>
      </c>
      <c r="F63" s="61">
        <v>36.836854889999998</v>
      </c>
      <c r="G63" s="62">
        <v>36.836854889999998</v>
      </c>
    </row>
  </sheetData>
  <phoneticPr fontId="5" type="noConversion"/>
  <printOptions horizontalCentered="1"/>
  <pageMargins left="0.35433070866141736" right="0.35433070866141736" top="0.98425196850393704" bottom="0.98425196850393704"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23">
    <pageSetUpPr fitToPage="1"/>
  </sheetPr>
  <dimension ref="A1:L25"/>
  <sheetViews>
    <sheetView showGridLines="0" workbookViewId="0">
      <selection sqref="A1:Q1"/>
    </sheetView>
  </sheetViews>
  <sheetFormatPr defaultColWidth="8.875" defaultRowHeight="16.5"/>
  <cols>
    <col min="1" max="1" width="5.75" style="2" customWidth="1"/>
    <col min="2" max="2" width="3" style="30" customWidth="1"/>
    <col min="3" max="3" width="7.125" style="2" customWidth="1"/>
    <col min="4" max="16384" width="8.875" style="2"/>
  </cols>
  <sheetData>
    <row r="1" spans="1:12" s="29" customFormat="1" ht="25.5">
      <c r="A1" s="87" t="s">
        <v>179</v>
      </c>
      <c r="B1" s="87"/>
      <c r="C1" s="87"/>
      <c r="D1" s="87"/>
      <c r="E1" s="87"/>
      <c r="F1" s="87"/>
      <c r="G1" s="87"/>
      <c r="H1" s="87"/>
      <c r="I1" s="87"/>
      <c r="J1" s="87"/>
      <c r="K1" s="87"/>
      <c r="L1" s="87"/>
    </row>
    <row r="3" spans="1:12" s="31" customFormat="1" ht="19.5">
      <c r="A3" s="31" t="s">
        <v>132</v>
      </c>
      <c r="B3" s="32" t="s">
        <v>133</v>
      </c>
    </row>
    <row r="4" spans="1:12">
      <c r="B4" s="30" t="s">
        <v>134</v>
      </c>
      <c r="C4" s="2" t="s">
        <v>135</v>
      </c>
    </row>
    <row r="5" spans="1:12">
      <c r="B5" s="30" t="s">
        <v>136</v>
      </c>
      <c r="C5" s="2" t="s">
        <v>137</v>
      </c>
    </row>
    <row r="6" spans="1:12" s="31" customFormat="1" ht="19.5">
      <c r="A6" s="31" t="s">
        <v>138</v>
      </c>
      <c r="B6" s="32" t="s">
        <v>139</v>
      </c>
    </row>
    <row r="7" spans="1:12">
      <c r="B7" s="30" t="s">
        <v>134</v>
      </c>
      <c r="C7" s="30" t="s">
        <v>140</v>
      </c>
    </row>
    <row r="8" spans="1:12">
      <c r="B8" s="30" t="s">
        <v>136</v>
      </c>
      <c r="C8" s="2" t="s">
        <v>180</v>
      </c>
    </row>
    <row r="9" spans="1:12" s="31" customFormat="1" ht="19.5">
      <c r="A9" s="31" t="s">
        <v>142</v>
      </c>
      <c r="B9" s="32" t="s">
        <v>143</v>
      </c>
    </row>
    <row r="10" spans="1:12">
      <c r="B10" s="30" t="s">
        <v>134</v>
      </c>
      <c r="C10" s="30" t="s">
        <v>144</v>
      </c>
    </row>
    <row r="11" spans="1:12">
      <c r="B11" s="30" t="s">
        <v>136</v>
      </c>
      <c r="C11" s="2" t="s">
        <v>145</v>
      </c>
    </row>
    <row r="12" spans="1:12">
      <c r="B12" s="30" t="s">
        <v>141</v>
      </c>
      <c r="C12" s="2" t="s">
        <v>146</v>
      </c>
    </row>
    <row r="13" spans="1:12" s="31" customFormat="1" ht="19.5">
      <c r="A13" s="31" t="s">
        <v>147</v>
      </c>
      <c r="B13" s="32" t="s">
        <v>148</v>
      </c>
    </row>
    <row r="14" spans="1:12">
      <c r="B14" s="30" t="s">
        <v>134</v>
      </c>
      <c r="C14" s="2" t="s">
        <v>149</v>
      </c>
    </row>
    <row r="15" spans="1:12">
      <c r="B15" s="33" t="s">
        <v>136</v>
      </c>
      <c r="C15" s="2" t="s">
        <v>150</v>
      </c>
    </row>
    <row r="16" spans="1:12">
      <c r="B16" s="33" t="s">
        <v>141</v>
      </c>
      <c r="C16" s="2" t="s">
        <v>151</v>
      </c>
    </row>
    <row r="17" spans="1:3" s="31" customFormat="1" ht="19.5">
      <c r="A17" s="31" t="s">
        <v>152</v>
      </c>
      <c r="B17" s="32" t="s">
        <v>153</v>
      </c>
    </row>
    <row r="18" spans="1:3">
      <c r="B18" s="33" t="s">
        <v>134</v>
      </c>
      <c r="C18" s="2" t="s">
        <v>154</v>
      </c>
    </row>
    <row r="19" spans="1:3">
      <c r="B19" s="33" t="s">
        <v>136</v>
      </c>
      <c r="C19" s="2" t="s">
        <v>155</v>
      </c>
    </row>
    <row r="20" spans="1:3">
      <c r="C20" s="2" t="s">
        <v>156</v>
      </c>
    </row>
    <row r="21" spans="1:3">
      <c r="C21" s="2" t="s">
        <v>157</v>
      </c>
    </row>
    <row r="22" spans="1:3">
      <c r="C22" s="2" t="s">
        <v>181</v>
      </c>
    </row>
    <row r="23" spans="1:3">
      <c r="C23" s="2" t="s">
        <v>158</v>
      </c>
    </row>
    <row r="24" spans="1:3">
      <c r="C24" s="2" t="s">
        <v>159</v>
      </c>
    </row>
    <row r="25" spans="1:3">
      <c r="C25" s="2" t="s">
        <v>160</v>
      </c>
    </row>
  </sheetData>
  <mergeCells count="1">
    <mergeCell ref="A1:L1"/>
  </mergeCells>
  <phoneticPr fontId="5" type="noConversion"/>
  <hyperlinks>
    <hyperlink ref="A1:L1" location="目錄!A1" display="全民健康保險醫療服務核定點數及費用統計說明"/>
  </hyperlinks>
  <printOptions horizontalCentered="1"/>
  <pageMargins left="0.55118110236220474" right="0.55118110236220474" top="0.78740157480314965" bottom="0.78740157480314965"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sheetPr codeName="Sheet19">
    <pageSetUpPr fitToPage="1"/>
  </sheetPr>
  <dimension ref="A1:R42"/>
  <sheetViews>
    <sheetView showGridLines="0" zoomScale="75" workbookViewId="0">
      <pane ySplit="3" topLeftCell="A4" activePane="bottomLeft" state="frozen"/>
      <selection sqref="A1:D1"/>
      <selection pane="bottomLeft" activeCell="R3" sqref="R3"/>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1.75" style="3" customWidth="1"/>
    <col min="6" max="6" width="11.5" style="3" bestFit="1" customWidth="1"/>
    <col min="7" max="7" width="10.75" style="3" customWidth="1"/>
    <col min="8" max="8" width="11.5" style="3" bestFit="1" customWidth="1"/>
    <col min="9" max="9" width="1.875" style="3" customWidth="1"/>
    <col min="10" max="10" width="11.5" style="3" customWidth="1"/>
    <col min="11" max="13" width="11.5" style="3" bestFit="1" customWidth="1"/>
    <col min="14" max="14" width="2.25" style="3" customWidth="1"/>
    <col min="15" max="15" width="11.875" style="3" customWidth="1"/>
    <col min="16" max="16" width="12.875" style="3" bestFit="1" customWidth="1"/>
    <col min="17" max="17" width="11.125" style="3" customWidth="1"/>
    <col min="18" max="16384" width="8.875" style="2"/>
  </cols>
  <sheetData>
    <row r="1" spans="1:18" ht="40.9" customHeight="1">
      <c r="A1" s="89" t="s">
        <v>211</v>
      </c>
      <c r="B1" s="89"/>
      <c r="C1" s="89"/>
      <c r="D1" s="89"/>
      <c r="E1" s="89"/>
      <c r="F1" s="89"/>
      <c r="G1" s="89"/>
      <c r="H1" s="89"/>
      <c r="I1" s="89"/>
      <c r="J1" s="89"/>
      <c r="K1" s="89"/>
      <c r="L1" s="89"/>
      <c r="M1" s="89"/>
      <c r="N1" s="89"/>
      <c r="O1" s="89"/>
      <c r="P1" s="89"/>
      <c r="Q1" s="89"/>
    </row>
    <row r="2" spans="1:18" s="3" customFormat="1">
      <c r="E2" s="90" t="s">
        <v>114</v>
      </c>
      <c r="F2" s="90"/>
      <c r="G2" s="90"/>
      <c r="H2" s="90"/>
      <c r="J2" s="90" t="s">
        <v>115</v>
      </c>
      <c r="K2" s="90"/>
      <c r="L2" s="90"/>
      <c r="M2" s="90"/>
      <c r="O2" s="90" t="s">
        <v>116</v>
      </c>
      <c r="P2" s="90"/>
      <c r="Q2" s="90"/>
    </row>
    <row r="3" spans="1:18" s="3" customFormat="1" ht="33">
      <c r="A3" s="4" t="s">
        <v>117</v>
      </c>
      <c r="B3" s="4" t="s">
        <v>118</v>
      </c>
      <c r="C3" s="4" t="s">
        <v>119</v>
      </c>
      <c r="E3" s="5" t="s">
        <v>218</v>
      </c>
      <c r="F3" s="6" t="s">
        <v>120</v>
      </c>
      <c r="G3" s="35" t="s">
        <v>219</v>
      </c>
      <c r="H3" s="6" t="s">
        <v>120</v>
      </c>
      <c r="J3" s="5" t="s">
        <v>218</v>
      </c>
      <c r="K3" s="6" t="s">
        <v>120</v>
      </c>
      <c r="L3" s="35" t="s">
        <v>219</v>
      </c>
      <c r="M3" s="6" t="s">
        <v>120</v>
      </c>
      <c r="O3" s="5" t="s">
        <v>220</v>
      </c>
      <c r="P3" s="35" t="s">
        <v>221</v>
      </c>
      <c r="Q3" s="35" t="s">
        <v>216</v>
      </c>
      <c r="R3" s="84"/>
    </row>
    <row r="4" spans="1:18" s="3" customFormat="1">
      <c r="A4" s="88">
        <f>lev_wk!B2</f>
        <v>2004</v>
      </c>
      <c r="B4" s="88"/>
      <c r="C4" s="88"/>
      <c r="D4" s="9"/>
      <c r="E4" s="10"/>
      <c r="F4" s="9"/>
      <c r="G4" s="9"/>
      <c r="H4" s="9"/>
      <c r="I4" s="9"/>
      <c r="J4" s="10"/>
      <c r="K4" s="9"/>
      <c r="L4" s="9"/>
      <c r="M4" s="9"/>
      <c r="N4" s="9"/>
      <c r="O4" s="10"/>
      <c r="P4" s="9"/>
      <c r="Q4" s="9"/>
    </row>
    <row r="5" spans="1:18">
      <c r="A5" s="2"/>
      <c r="B5" s="3" t="str">
        <f>lev_wk!C2</f>
        <v>Q1</v>
      </c>
      <c r="C5" s="3" t="s">
        <v>121</v>
      </c>
      <c r="D5" s="15"/>
      <c r="E5" s="65">
        <f>lev_wk!D2</f>
        <v>185.12763844</v>
      </c>
      <c r="F5" s="8">
        <f>E5/O5</f>
        <v>0.66068594071068865</v>
      </c>
      <c r="G5" s="65">
        <f>lev_wk!E2</f>
        <v>164.42035013</v>
      </c>
      <c r="H5" s="8">
        <f>G5/P5</f>
        <v>0.6336095225850219</v>
      </c>
      <c r="I5" s="16"/>
      <c r="J5" s="65">
        <f>lev_wk!F2</f>
        <v>95.077565019999994</v>
      </c>
      <c r="K5" s="8">
        <f>J5/O5</f>
        <v>0.33931405928931135</v>
      </c>
      <c r="L5" s="65">
        <f>lev_wk!G2</f>
        <v>95.077565019999994</v>
      </c>
      <c r="M5" s="8">
        <f>L5/P5</f>
        <v>0.36639047741497821</v>
      </c>
      <c r="N5" s="16"/>
      <c r="O5" s="65">
        <f>E5+J5</f>
        <v>280.20520346000001</v>
      </c>
      <c r="P5" s="65">
        <f>G5+L5</f>
        <v>259.49791514999998</v>
      </c>
      <c r="Q5" s="8">
        <f>P5/O5</f>
        <v>0.92609955827263557</v>
      </c>
    </row>
    <row r="6" spans="1:18">
      <c r="B6" s="3" t="str">
        <f>lev_wk!C3</f>
        <v>Q2</v>
      </c>
      <c r="C6" s="3" t="s">
        <v>121</v>
      </c>
      <c r="D6" s="15"/>
      <c r="E6" s="65">
        <f>lev_wk!D3</f>
        <v>194.91990084</v>
      </c>
      <c r="F6" s="8">
        <f>E6/O6</f>
        <v>0.6647116543257795</v>
      </c>
      <c r="G6" s="65">
        <f>lev_wk!E3</f>
        <v>174.40218879</v>
      </c>
      <c r="H6" s="8">
        <f>G6/P6</f>
        <v>0.63948689080481802</v>
      </c>
      <c r="I6" s="27"/>
      <c r="J6" s="65">
        <f>lev_wk!F3</f>
        <v>98.319881510000002</v>
      </c>
      <c r="K6" s="8">
        <f>J6/O6</f>
        <v>0.33528834567422056</v>
      </c>
      <c r="L6" s="65">
        <f>lev_wk!G3</f>
        <v>98.319881510000002</v>
      </c>
      <c r="M6" s="8">
        <f>L6/P6</f>
        <v>0.36051310919518204</v>
      </c>
      <c r="N6" s="27"/>
      <c r="O6" s="65">
        <f>E6+J6</f>
        <v>293.23978234999998</v>
      </c>
      <c r="P6" s="65">
        <f>G6+L6</f>
        <v>272.72207029999998</v>
      </c>
      <c r="Q6" s="8">
        <f>P6/O6</f>
        <v>0.93003093957589</v>
      </c>
    </row>
    <row r="7" spans="1:18">
      <c r="B7" s="3" t="str">
        <f>lev_wk!C4</f>
        <v>Q3</v>
      </c>
      <c r="C7" s="3" t="s">
        <v>121</v>
      </c>
      <c r="D7" s="15"/>
      <c r="E7" s="65">
        <f>lev_wk!D4</f>
        <v>202.34225914999999</v>
      </c>
      <c r="F7" s="8">
        <f>E7/O7</f>
        <v>0.68751674260752371</v>
      </c>
      <c r="G7" s="65">
        <f>lev_wk!E4</f>
        <v>189.94213053999999</v>
      </c>
      <c r="H7" s="8">
        <f>G7/P7</f>
        <v>0.67377175233030528</v>
      </c>
      <c r="I7" s="27"/>
      <c r="J7" s="65">
        <f>lev_wk!F4</f>
        <v>91.966586890000002</v>
      </c>
      <c r="K7" s="8">
        <f>J7/O7</f>
        <v>0.31248325739247634</v>
      </c>
      <c r="L7" s="65">
        <f>lev_wk!G4</f>
        <v>91.966586890000002</v>
      </c>
      <c r="M7" s="8">
        <f>L7/P7</f>
        <v>0.3262282476696946</v>
      </c>
      <c r="N7" s="27"/>
      <c r="O7" s="65">
        <f>E7+J7</f>
        <v>294.30884603999999</v>
      </c>
      <c r="P7" s="65">
        <f>G7+L7</f>
        <v>281.90871743000002</v>
      </c>
      <c r="Q7" s="8">
        <f>P7/O7</f>
        <v>0.95786695243161446</v>
      </c>
    </row>
    <row r="8" spans="1:18">
      <c r="B8" s="4" t="str">
        <f>lev_wk!C5</f>
        <v>Q4</v>
      </c>
      <c r="C8" s="4" t="s">
        <v>121</v>
      </c>
      <c r="D8" s="15"/>
      <c r="E8" s="66">
        <f>lev_wk!D5</f>
        <v>203.37107066999999</v>
      </c>
      <c r="F8" s="13">
        <f>E8/O8</f>
        <v>0.68323826399993925</v>
      </c>
      <c r="G8" s="66">
        <f>lev_wk!E5</f>
        <v>190.39340430999999</v>
      </c>
      <c r="H8" s="13">
        <f>G8/P8</f>
        <v>0.66879808942456709</v>
      </c>
      <c r="I8" s="27"/>
      <c r="J8" s="66">
        <f>lev_wk!F5</f>
        <v>94.286542179999998</v>
      </c>
      <c r="K8" s="13">
        <f>J8/O8</f>
        <v>0.3167617360000608</v>
      </c>
      <c r="L8" s="66">
        <f>lev_wk!G5</f>
        <v>94.286542179999998</v>
      </c>
      <c r="M8" s="13">
        <f>L8/P8</f>
        <v>0.33120191057543286</v>
      </c>
      <c r="N8" s="27"/>
      <c r="O8" s="66">
        <f>E8+J8</f>
        <v>297.65761284999996</v>
      </c>
      <c r="P8" s="66">
        <f>G8+L8</f>
        <v>284.67994649000002</v>
      </c>
      <c r="Q8" s="13">
        <f>P8/O8</f>
        <v>0.95640069059298727</v>
      </c>
    </row>
    <row r="9" spans="1:18">
      <c r="A9" s="4"/>
      <c r="B9" s="4" t="s">
        <v>122</v>
      </c>
      <c r="C9" s="4" t="s">
        <v>121</v>
      </c>
      <c r="D9" s="15"/>
      <c r="E9" s="66">
        <f>SUM(E5:E8)</f>
        <v>785.76086910000004</v>
      </c>
      <c r="F9" s="13">
        <f>E9/O9</f>
        <v>0.6742347285788588</v>
      </c>
      <c r="G9" s="66">
        <f>SUM(G5:G8)</f>
        <v>719.1580737700001</v>
      </c>
      <c r="H9" s="13">
        <f>G9/P9</f>
        <v>0.65448890867607212</v>
      </c>
      <c r="I9" s="27"/>
      <c r="J9" s="66">
        <f>SUM(J5:J8)</f>
        <v>379.65057560000002</v>
      </c>
      <c r="K9" s="13">
        <f>J9/O9</f>
        <v>0.32576527142114148</v>
      </c>
      <c r="L9" s="66">
        <f>SUM(L5:L8)</f>
        <v>379.65057560000002</v>
      </c>
      <c r="M9" s="13">
        <f>L9/P9</f>
        <v>0.34551109132392799</v>
      </c>
      <c r="N9" s="27"/>
      <c r="O9" s="66">
        <f>SUM(O5:O8)</f>
        <v>1165.4114446999997</v>
      </c>
      <c r="P9" s="66">
        <f>SUM(P5:P8)</f>
        <v>1098.80864937</v>
      </c>
      <c r="Q9" s="13">
        <f>P9/O9</f>
        <v>0.94285040220525329</v>
      </c>
    </row>
    <row r="10" spans="1:18">
      <c r="A10" s="88">
        <f>lev_wk!B6</f>
        <v>2005</v>
      </c>
      <c r="B10" s="88"/>
      <c r="C10" s="88"/>
      <c r="D10" s="15"/>
      <c r="E10" s="7"/>
      <c r="F10" s="8"/>
      <c r="G10" s="7"/>
      <c r="H10" s="8"/>
      <c r="I10" s="27"/>
      <c r="J10" s="7"/>
      <c r="K10" s="8"/>
      <c r="L10" s="7"/>
      <c r="M10" s="8"/>
      <c r="N10" s="27"/>
      <c r="O10" s="7"/>
      <c r="P10" s="7"/>
      <c r="Q10" s="8"/>
    </row>
    <row r="11" spans="1:18">
      <c r="A11" s="2"/>
      <c r="B11" s="3" t="str">
        <f>lev_wk!C6</f>
        <v>Q1</v>
      </c>
      <c r="C11" s="3" t="s">
        <v>121</v>
      </c>
      <c r="D11" s="15"/>
      <c r="E11" s="65">
        <f>lev_wk!D6</f>
        <v>156.11253959999999</v>
      </c>
      <c r="F11" s="8">
        <f>E11/O11</f>
        <v>0.56817930862147936</v>
      </c>
      <c r="G11" s="65">
        <f>lev_wk!E6</f>
        <v>129.82188786</v>
      </c>
      <c r="H11" s="8">
        <f>G11/P11</f>
        <v>0.52248803829207002</v>
      </c>
      <c r="I11" s="27"/>
      <c r="J11" s="65">
        <f>lev_wk!F6</f>
        <v>118.64674366</v>
      </c>
      <c r="K11" s="8">
        <f>J11/O11</f>
        <v>0.43182069137852075</v>
      </c>
      <c r="L11" s="65">
        <f>lev_wk!G6</f>
        <v>118.64674366</v>
      </c>
      <c r="M11" s="8">
        <f>L11/P11</f>
        <v>0.47751196170792998</v>
      </c>
      <c r="N11" s="27"/>
      <c r="O11" s="65">
        <f>E11+J11</f>
        <v>274.75928325999996</v>
      </c>
      <c r="P11" s="65">
        <f>G11+L11</f>
        <v>248.46863152</v>
      </c>
      <c r="Q11" s="8">
        <f>P11/O11</f>
        <v>0.90431387275413155</v>
      </c>
    </row>
    <row r="12" spans="1:18">
      <c r="C12" s="3" t="s">
        <v>123</v>
      </c>
      <c r="D12" s="15"/>
      <c r="E12" s="8">
        <f>E11/E5-1</f>
        <v>-0.15673023803738428</v>
      </c>
      <c r="F12" s="8"/>
      <c r="G12" s="8">
        <f>G11/G5-1</f>
        <v>-0.21042688598244985</v>
      </c>
      <c r="H12" s="8"/>
      <c r="I12" s="16"/>
      <c r="J12" s="8">
        <f>J11/J5-1</f>
        <v>0.24789421810541867</v>
      </c>
      <c r="K12" s="8"/>
      <c r="L12" s="8">
        <f>L11/L5-1</f>
        <v>0.24789421810541867</v>
      </c>
      <c r="M12" s="8"/>
      <c r="N12" s="16"/>
      <c r="O12" s="8">
        <f>O11/O5-1</f>
        <v>-1.9435471335840004E-2</v>
      </c>
      <c r="P12" s="8">
        <f>P11/P5-1</f>
        <v>-4.2502397846335804E-2</v>
      </c>
      <c r="Q12" s="8"/>
    </row>
    <row r="13" spans="1:18">
      <c r="B13" s="3" t="str">
        <f>lev_wk!C7</f>
        <v>Q2</v>
      </c>
      <c r="C13" s="3" t="s">
        <v>121</v>
      </c>
      <c r="D13" s="15"/>
      <c r="E13" s="65">
        <f>lev_wk!D7</f>
        <v>166.21144661</v>
      </c>
      <c r="F13" s="8">
        <f>E13/O13</f>
        <v>0.57364495727024822</v>
      </c>
      <c r="G13" s="65">
        <f>lev_wk!E7</f>
        <v>144.30111324000001</v>
      </c>
      <c r="H13" s="8">
        <f>G13/P13</f>
        <v>0.53876695070545222</v>
      </c>
      <c r="I13" s="27"/>
      <c r="J13" s="65">
        <f>lev_wk!F7</f>
        <v>123.53475355</v>
      </c>
      <c r="K13" s="8">
        <f>J13/O13</f>
        <v>0.42635504272975178</v>
      </c>
      <c r="L13" s="65">
        <f>lev_wk!G7</f>
        <v>123.53475355</v>
      </c>
      <c r="M13" s="8">
        <f>L13/P13</f>
        <v>0.46123304929454778</v>
      </c>
      <c r="N13" s="27"/>
      <c r="O13" s="65">
        <f>E13+J13</f>
        <v>289.74620016</v>
      </c>
      <c r="P13" s="65">
        <f>G13+L13</f>
        <v>267.83586679000001</v>
      </c>
      <c r="Q13" s="8">
        <f>P13/O13</f>
        <v>0.92438094664261017</v>
      </c>
    </row>
    <row r="14" spans="1:18">
      <c r="C14" s="3" t="s">
        <v>123</v>
      </c>
      <c r="D14" s="15"/>
      <c r="E14" s="8">
        <f>E13/E6-1</f>
        <v>-0.1472833410353791</v>
      </c>
      <c r="F14" s="8"/>
      <c r="G14" s="8">
        <f>G13/G6-1</f>
        <v>-0.17259574411789691</v>
      </c>
      <c r="H14" s="8"/>
      <c r="I14" s="16"/>
      <c r="J14" s="8">
        <f>J13/J6-1</f>
        <v>0.25645751045209941</v>
      </c>
      <c r="K14" s="8"/>
      <c r="L14" s="8">
        <f>L13/L6-1</f>
        <v>0.25645751045209941</v>
      </c>
      <c r="M14" s="8"/>
      <c r="N14" s="16"/>
      <c r="O14" s="8">
        <f>O13/O6-1</f>
        <v>-1.1913738859041234E-2</v>
      </c>
      <c r="P14" s="8">
        <f>P13/P6-1</f>
        <v>-1.7916421302555552E-2</v>
      </c>
      <c r="Q14" s="8"/>
    </row>
    <row r="15" spans="1:18">
      <c r="B15" s="3" t="str">
        <f>lev_wk!C8</f>
        <v>Q3</v>
      </c>
      <c r="C15" s="3" t="s">
        <v>121</v>
      </c>
      <c r="D15" s="15"/>
      <c r="E15" s="65">
        <f>lev_wk!D8</f>
        <v>162.80325031000001</v>
      </c>
      <c r="F15" s="8">
        <f>E15/O15</f>
        <v>0.56780685101114103</v>
      </c>
      <c r="G15" s="65">
        <f>lev_wk!E8</f>
        <v>139.27854346999999</v>
      </c>
      <c r="H15" s="8">
        <f>G15/P15</f>
        <v>0.52917734745070644</v>
      </c>
      <c r="I15" s="27"/>
      <c r="J15" s="65">
        <f>lev_wk!F8</f>
        <v>123.91969081000001</v>
      </c>
      <c r="K15" s="8">
        <f>J15/O15</f>
        <v>0.43219314898885897</v>
      </c>
      <c r="L15" s="65">
        <f>lev_wk!G8</f>
        <v>123.91969081000001</v>
      </c>
      <c r="M15" s="8">
        <f>L15/P15</f>
        <v>0.47082265254929356</v>
      </c>
      <c r="N15" s="27"/>
      <c r="O15" s="65">
        <f>E15+J15</f>
        <v>286.72294112000003</v>
      </c>
      <c r="P15" s="65">
        <f>G15+L15</f>
        <v>263.19823428000001</v>
      </c>
      <c r="Q15" s="8">
        <f>P15/O15</f>
        <v>0.91795317546580835</v>
      </c>
    </row>
    <row r="16" spans="1:18">
      <c r="B16" s="9"/>
      <c r="C16" s="9" t="s">
        <v>123</v>
      </c>
      <c r="D16" s="15"/>
      <c r="E16" s="16">
        <f>E15/E7-1</f>
        <v>-0.19540657995070121</v>
      </c>
      <c r="F16" s="16"/>
      <c r="G16" s="16">
        <f>G15/G7-1</f>
        <v>-0.26673169836499622</v>
      </c>
      <c r="H16" s="16"/>
      <c r="I16" s="16"/>
      <c r="J16" s="16">
        <f>J15/J7-1</f>
        <v>0.34744253321283614</v>
      </c>
      <c r="K16" s="16"/>
      <c r="L16" s="16">
        <f>L15/L7-1</f>
        <v>0.34744253321283614</v>
      </c>
      <c r="M16" s="16"/>
      <c r="N16" s="16"/>
      <c r="O16" s="16">
        <f>O15/O7-1</f>
        <v>-2.5775320796742052E-2</v>
      </c>
      <c r="P16" s="16">
        <f>P15/P7-1</f>
        <v>-6.63707150334788E-2</v>
      </c>
      <c r="Q16" s="16"/>
    </row>
    <row r="17" spans="1:17" ht="16.149999999999999" customHeight="1">
      <c r="B17" s="3" t="str">
        <f>lev_wk!C9</f>
        <v>Q4</v>
      </c>
      <c r="C17" s="3" t="s">
        <v>121</v>
      </c>
      <c r="D17" s="15"/>
      <c r="E17" s="65">
        <f>lev_wk!D9</f>
        <v>162.74791289000001</v>
      </c>
      <c r="F17" s="8">
        <f>E17/O17</f>
        <v>0.56909379743519595</v>
      </c>
      <c r="G17" s="65">
        <f>lev_wk!E9</f>
        <v>138.64973741</v>
      </c>
      <c r="H17" s="8">
        <f>G17/P17</f>
        <v>0.5294417139105112</v>
      </c>
      <c r="I17" s="27"/>
      <c r="J17" s="65">
        <f>lev_wk!F9</f>
        <v>123.22939633999999</v>
      </c>
      <c r="K17" s="8">
        <f>J17/O17</f>
        <v>0.43090620256480405</v>
      </c>
      <c r="L17" s="65">
        <f>lev_wk!G9</f>
        <v>123.22939633999999</v>
      </c>
      <c r="M17" s="8">
        <f>L17/P17</f>
        <v>0.4705582860894888</v>
      </c>
      <c r="N17" s="27"/>
      <c r="O17" s="65">
        <f>E17+J17</f>
        <v>285.97730923</v>
      </c>
      <c r="P17" s="65">
        <f>G17+L17</f>
        <v>261.87913374999999</v>
      </c>
      <c r="Q17" s="8">
        <f>P17/O17</f>
        <v>0.91573395964566262</v>
      </c>
    </row>
    <row r="18" spans="1:17" ht="16.149999999999999" customHeight="1">
      <c r="B18" s="4"/>
      <c r="C18" s="4" t="s">
        <v>123</v>
      </c>
      <c r="D18" s="15"/>
      <c r="E18" s="13">
        <f>E17/E8-1</f>
        <v>-0.19974894977032964</v>
      </c>
      <c r="F18" s="13"/>
      <c r="G18" s="13">
        <f>G17/G8-1</f>
        <v>-0.2717723709364982</v>
      </c>
      <c r="H18" s="13"/>
      <c r="I18" s="27"/>
      <c r="J18" s="13">
        <f>J17/J8-1</f>
        <v>0.30696696994939043</v>
      </c>
      <c r="K18" s="13"/>
      <c r="L18" s="13">
        <f>L17/L8-1</f>
        <v>0.30696696994939043</v>
      </c>
      <c r="M18" s="13"/>
      <c r="N18" s="27"/>
      <c r="O18" s="13">
        <f>O17/O8-1</f>
        <v>-3.9240735381043557E-2</v>
      </c>
      <c r="P18" s="13">
        <f>P17/P8-1</f>
        <v>-8.0092795509925208E-2</v>
      </c>
      <c r="Q18" s="13"/>
    </row>
    <row r="19" spans="1:17">
      <c r="B19" s="3" t="s">
        <v>122</v>
      </c>
      <c r="C19" s="3" t="s">
        <v>121</v>
      </c>
      <c r="D19" s="15"/>
      <c r="E19" s="65">
        <f>E15+E13+E11+E17</f>
        <v>647.87514940999995</v>
      </c>
      <c r="F19" s="8">
        <f>E19/O19</f>
        <v>0.56970795184280421</v>
      </c>
      <c r="G19" s="65">
        <f>G15+G13+G11+G17</f>
        <v>552.05128198</v>
      </c>
      <c r="H19" s="8">
        <f>G19/P19</f>
        <v>0.53011416832157632</v>
      </c>
      <c r="I19" s="27"/>
      <c r="J19" s="65">
        <f>J15+J13+J11+J17</f>
        <v>489.33058435999999</v>
      </c>
      <c r="K19" s="8">
        <f>J19/O19</f>
        <v>0.43029204815719574</v>
      </c>
      <c r="L19" s="65">
        <f>L15+L13+L11+L17</f>
        <v>489.33058435999999</v>
      </c>
      <c r="M19" s="8">
        <f>L19/P19</f>
        <v>0.46988583167842374</v>
      </c>
      <c r="N19" s="27"/>
      <c r="O19" s="65">
        <f>O15+O13+O11+O17</f>
        <v>1137.2057337700001</v>
      </c>
      <c r="P19" s="65">
        <f>P15+P13+P11+P17</f>
        <v>1041.38186634</v>
      </c>
      <c r="Q19" s="8">
        <f>P19/O19</f>
        <v>0.91573743907153005</v>
      </c>
    </row>
    <row r="20" spans="1:17">
      <c r="A20" s="4"/>
      <c r="B20" s="4"/>
      <c r="C20" s="4" t="s">
        <v>123</v>
      </c>
      <c r="D20" s="15"/>
      <c r="E20" s="13">
        <f>E19/E9-1</f>
        <v>-0.17548051209006188</v>
      </c>
      <c r="F20" s="13"/>
      <c r="G20" s="13">
        <f>G19/G9-1</f>
        <v>-0.23236447991744846</v>
      </c>
      <c r="H20" s="13"/>
      <c r="I20" s="16"/>
      <c r="J20" s="13">
        <f>J19/J9-1</f>
        <v>0.28889725397271326</v>
      </c>
      <c r="K20" s="13"/>
      <c r="L20" s="13">
        <f>L19/L9-1</f>
        <v>0.28889725397271326</v>
      </c>
      <c r="M20" s="13"/>
      <c r="N20" s="16"/>
      <c r="O20" s="13">
        <f>O19/O9-1</f>
        <v>-2.4202363086678225E-2</v>
      </c>
      <c r="P20" s="13">
        <f>P19/P9-1</f>
        <v>-5.226276937565566E-2</v>
      </c>
      <c r="Q20" s="13"/>
    </row>
    <row r="21" spans="1:17">
      <c r="A21" s="92">
        <f>lev_wk!B42</f>
        <v>2006</v>
      </c>
      <c r="B21" s="92"/>
      <c r="C21" s="92"/>
      <c r="D21" s="15"/>
      <c r="E21" s="27"/>
      <c r="F21" s="16"/>
      <c r="G21" s="27"/>
      <c r="H21" s="16"/>
      <c r="I21" s="27"/>
      <c r="J21" s="27"/>
      <c r="K21" s="16"/>
      <c r="L21" s="27"/>
      <c r="M21" s="16"/>
      <c r="N21" s="27"/>
      <c r="O21" s="27"/>
      <c r="P21" s="27"/>
      <c r="Q21" s="16"/>
    </row>
    <row r="22" spans="1:17">
      <c r="A22" s="15"/>
      <c r="B22" s="9" t="str">
        <f>lev_wk!C42</f>
        <v>Q1</v>
      </c>
      <c r="C22" s="9" t="s">
        <v>121</v>
      </c>
      <c r="D22" s="15"/>
      <c r="E22" s="68">
        <f>lev_wk!D42</f>
        <v>159.96726992000001</v>
      </c>
      <c r="F22" s="16">
        <f>E22/O22</f>
        <v>0.56810935006658581</v>
      </c>
      <c r="G22" s="68">
        <f>lev_wk!E42</f>
        <v>140.33445552000001</v>
      </c>
      <c r="H22" s="16">
        <f>G22/P22</f>
        <v>0.53573914650375776</v>
      </c>
      <c r="I22" s="27"/>
      <c r="J22" s="68">
        <f>lev_wk!F42</f>
        <v>121.61103873</v>
      </c>
      <c r="K22" s="16">
        <f>J22/O22</f>
        <v>0.43189064993341419</v>
      </c>
      <c r="L22" s="68">
        <f>lev_wk!G42</f>
        <v>121.61103873</v>
      </c>
      <c r="M22" s="16">
        <f>L22/P22</f>
        <v>0.46426085349624213</v>
      </c>
      <c r="N22" s="27"/>
      <c r="O22" s="68">
        <f>E22+J22</f>
        <v>281.57830865</v>
      </c>
      <c r="P22" s="68">
        <f>G22+L22</f>
        <v>261.94549425000002</v>
      </c>
      <c r="Q22" s="16">
        <f>P22/O22</f>
        <v>0.93027582808445863</v>
      </c>
    </row>
    <row r="23" spans="1:17">
      <c r="A23" s="9"/>
      <c r="B23" s="9"/>
      <c r="C23" s="9" t="s">
        <v>123</v>
      </c>
      <c r="D23" s="15"/>
      <c r="E23" s="16">
        <f>E22/E11-1</f>
        <v>2.4691996747197908E-2</v>
      </c>
      <c r="F23" s="16"/>
      <c r="G23" s="16">
        <f>G22/G11-1</f>
        <v>8.0976850924681987E-2</v>
      </c>
      <c r="H23" s="16"/>
      <c r="I23" s="16"/>
      <c r="J23" s="16">
        <f>J22/J11-1</f>
        <v>2.4984209246354361E-2</v>
      </c>
      <c r="K23" s="16"/>
      <c r="L23" s="16">
        <f>L22/L11-1</f>
        <v>2.4984209246354361E-2</v>
      </c>
      <c r="M23" s="16"/>
      <c r="N23" s="16"/>
      <c r="O23" s="16">
        <f>O22/O11-1</f>
        <v>2.4818180150613101E-2</v>
      </c>
      <c r="P23" s="16">
        <f>P22/P11-1</f>
        <v>5.423969475565471E-2</v>
      </c>
      <c r="Q23" s="16"/>
    </row>
    <row r="24" spans="1:17">
      <c r="A24" s="9"/>
      <c r="B24" s="9" t="str">
        <f>lev_wk!C47</f>
        <v>Q2</v>
      </c>
      <c r="C24" s="9" t="s">
        <v>121</v>
      </c>
      <c r="D24" s="15"/>
      <c r="E24" s="68">
        <f>lev_wk!D47</f>
        <v>171.26157671999999</v>
      </c>
      <c r="F24" s="16">
        <f>E24/O24</f>
        <v>0.56901615638034198</v>
      </c>
      <c r="G24" s="68">
        <f>lev_wk!E47</f>
        <v>153.41612158000001</v>
      </c>
      <c r="H24" s="16">
        <f>G24/P24</f>
        <v>0.54185187621788156</v>
      </c>
      <c r="I24" s="27"/>
      <c r="J24" s="68">
        <f>lev_wk!F47</f>
        <v>129.71683100999999</v>
      </c>
      <c r="K24" s="16">
        <f>J24/O24</f>
        <v>0.43098384361965808</v>
      </c>
      <c r="L24" s="68">
        <f>lev_wk!G47</f>
        <v>129.71683100999999</v>
      </c>
      <c r="M24" s="16">
        <f>L24/P24</f>
        <v>0.45814812378211844</v>
      </c>
      <c r="N24" s="27"/>
      <c r="O24" s="68">
        <f>E24+J24</f>
        <v>300.97840772999996</v>
      </c>
      <c r="P24" s="68">
        <f>G24+L24</f>
        <v>283.13295259</v>
      </c>
      <c r="Q24" s="16">
        <f>P24/O24</f>
        <v>0.94070852034007479</v>
      </c>
    </row>
    <row r="25" spans="1:17">
      <c r="A25" s="9"/>
      <c r="B25" s="9"/>
      <c r="C25" s="9" t="s">
        <v>123</v>
      </c>
      <c r="D25" s="15"/>
      <c r="E25" s="16">
        <f>E24/E13-1</f>
        <v>3.0383768464813832E-2</v>
      </c>
      <c r="F25" s="16"/>
      <c r="G25" s="16">
        <f>G24/G13-1</f>
        <v>6.3166583648180286E-2</v>
      </c>
      <c r="H25" s="16"/>
      <c r="I25" s="16"/>
      <c r="J25" s="16">
        <f>J24/J13-1</f>
        <v>5.0043224941537012E-2</v>
      </c>
      <c r="K25" s="16"/>
      <c r="L25" s="16">
        <f>L24/L13-1</f>
        <v>5.0043224941537012E-2</v>
      </c>
      <c r="M25" s="16"/>
      <c r="N25" s="16"/>
      <c r="O25" s="16">
        <f>O24/O13-1</f>
        <v>3.8765676870990751E-2</v>
      </c>
      <c r="P25" s="16">
        <f>P24/P13-1</f>
        <v>5.7113656894929088E-2</v>
      </c>
      <c r="Q25" s="16"/>
    </row>
    <row r="26" spans="1:17">
      <c r="A26" s="9"/>
      <c r="B26" s="9" t="str">
        <f>lev_wk!C53</f>
        <v>Q3</v>
      </c>
      <c r="C26" s="9" t="s">
        <v>121</v>
      </c>
      <c r="D26" s="15"/>
      <c r="E26" s="68">
        <f>lev_wk!D53</f>
        <v>174.10005035</v>
      </c>
      <c r="F26" s="16">
        <f>E26/O26</f>
        <v>0.56669347498832734</v>
      </c>
      <c r="G26" s="68">
        <f>lev_wk!E53</f>
        <v>153.15512103</v>
      </c>
      <c r="H26" s="16">
        <f>G26/P26</f>
        <v>0.53499128166628462</v>
      </c>
      <c r="I26" s="27"/>
      <c r="J26" s="68">
        <f>lev_wk!F53</f>
        <v>133.12079836999999</v>
      </c>
      <c r="K26" s="16">
        <f>J26/O26</f>
        <v>0.43330652501167272</v>
      </c>
      <c r="L26" s="68">
        <f>lev_wk!G53</f>
        <v>133.12079836999999</v>
      </c>
      <c r="M26" s="16">
        <f>L26/P26</f>
        <v>0.46500871833371527</v>
      </c>
      <c r="N26" s="27"/>
      <c r="O26" s="68">
        <f>E26+J26</f>
        <v>307.22084871999999</v>
      </c>
      <c r="P26" s="68">
        <f>G26+L26</f>
        <v>286.27591940000002</v>
      </c>
      <c r="Q26" s="16">
        <f>P26/O26</f>
        <v>0.93182451839689728</v>
      </c>
    </row>
    <row r="27" spans="1:17">
      <c r="A27" s="9"/>
      <c r="B27" s="9"/>
      <c r="C27" s="9" t="s">
        <v>123</v>
      </c>
      <c r="D27" s="15"/>
      <c r="E27" s="16">
        <f>E26/E15-1</f>
        <v>6.9389278276013044E-2</v>
      </c>
      <c r="F27" s="16"/>
      <c r="G27" s="16">
        <f>G26/G15-1</f>
        <v>9.9631840011228823E-2</v>
      </c>
      <c r="H27" s="16"/>
      <c r="I27" s="16"/>
      <c r="J27" s="16">
        <f>J26/J15-1</f>
        <v>7.4250569056919291E-2</v>
      </c>
      <c r="K27" s="16"/>
      <c r="L27" s="16">
        <f>L26/L15-1</f>
        <v>7.4250569056919291E-2</v>
      </c>
      <c r="M27" s="16"/>
      <c r="N27" s="16"/>
      <c r="O27" s="16">
        <f>O26/O15-1</f>
        <v>7.149029484676328E-2</v>
      </c>
      <c r="P27" s="16">
        <f>P26/P15-1</f>
        <v>8.7681762695448473E-2</v>
      </c>
      <c r="Q27" s="16"/>
    </row>
    <row r="28" spans="1:17" ht="16.149999999999999" customHeight="1">
      <c r="A28" s="9"/>
      <c r="B28" s="9" t="str">
        <f>lev_wk!C59</f>
        <v>Q4</v>
      </c>
      <c r="C28" s="9" t="s">
        <v>121</v>
      </c>
      <c r="D28" s="15"/>
      <c r="E28" s="68">
        <f>lev_wk!D59</f>
        <v>176.19807814000001</v>
      </c>
      <c r="F28" s="16">
        <f>E28/O28</f>
        <v>0.57222031980778487</v>
      </c>
      <c r="G28" s="68">
        <f>lev_wk!E59</f>
        <v>158.59373625000001</v>
      </c>
      <c r="H28" s="16">
        <f>G28/P28</f>
        <v>0.54628034841003725</v>
      </c>
      <c r="I28" s="27"/>
      <c r="J28" s="68">
        <f>lev_wk!F59</f>
        <v>131.72191708</v>
      </c>
      <c r="K28" s="16">
        <f>J28/O28</f>
        <v>0.42777968019221502</v>
      </c>
      <c r="L28" s="68">
        <f>lev_wk!G59</f>
        <v>131.72191708</v>
      </c>
      <c r="M28" s="16">
        <f>L28/P28</f>
        <v>0.45371965158996264</v>
      </c>
      <c r="N28" s="27"/>
      <c r="O28" s="68">
        <f>E28+J28</f>
        <v>307.91999522000003</v>
      </c>
      <c r="P28" s="68">
        <f>G28+L28</f>
        <v>290.31565333000003</v>
      </c>
      <c r="Q28" s="16">
        <f>P28/O28</f>
        <v>0.9428281951049583</v>
      </c>
    </row>
    <row r="29" spans="1:17" ht="16.149999999999999" customHeight="1">
      <c r="B29" s="4"/>
      <c r="C29" s="4" t="s">
        <v>123</v>
      </c>
      <c r="D29" s="15"/>
      <c r="E29" s="13">
        <f>E28/E17-1</f>
        <v>8.264416428547916E-2</v>
      </c>
      <c r="F29" s="13"/>
      <c r="G29" s="13">
        <f>G28/G17-1</f>
        <v>0.14384447610617368</v>
      </c>
      <c r="H29" s="13"/>
      <c r="I29" s="27"/>
      <c r="J29" s="13">
        <f>J28/J17-1</f>
        <v>6.8916354313450112E-2</v>
      </c>
      <c r="K29" s="13"/>
      <c r="L29" s="13">
        <f>L28/L17-1</f>
        <v>6.8916354313450112E-2</v>
      </c>
      <c r="M29" s="13"/>
      <c r="N29" s="27"/>
      <c r="O29" s="13">
        <f>O28/O17-1</f>
        <v>7.6728765820900824E-2</v>
      </c>
      <c r="P29" s="13">
        <f>P28/P17-1</f>
        <v>0.10858642753548531</v>
      </c>
      <c r="Q29" s="13"/>
    </row>
    <row r="30" spans="1:17">
      <c r="B30" s="3" t="s">
        <v>122</v>
      </c>
      <c r="C30" s="3" t="s">
        <v>121</v>
      </c>
      <c r="D30" s="15"/>
      <c r="E30" s="68">
        <f>E26+E24+E22+E28</f>
        <v>681.52697512999998</v>
      </c>
      <c r="F30" s="8">
        <f>E30/O30</f>
        <v>0.56903094546498878</v>
      </c>
      <c r="G30" s="68">
        <f>G26+G24+G22+G28</f>
        <v>605.49943438000003</v>
      </c>
      <c r="H30" s="8">
        <f>G30/P30</f>
        <v>0.53981957600339758</v>
      </c>
      <c r="I30" s="27"/>
      <c r="J30" s="68">
        <f>J26+J24+J22+J28</f>
        <v>516.17058519</v>
      </c>
      <c r="K30" s="8">
        <f>J30/O30</f>
        <v>0.43096905453501128</v>
      </c>
      <c r="L30" s="68">
        <f>L26+L24+L22+L28</f>
        <v>516.17058519</v>
      </c>
      <c r="M30" s="8">
        <f>L30/P30</f>
        <v>0.46018042399660247</v>
      </c>
      <c r="N30" s="27"/>
      <c r="O30" s="68">
        <f>O26+O24+O22+O28</f>
        <v>1197.6975603199999</v>
      </c>
      <c r="P30" s="68">
        <f>P26+P24+P22+P28</f>
        <v>1121.67001957</v>
      </c>
      <c r="Q30" s="8">
        <f>P30/O30</f>
        <v>0.93652192066777951</v>
      </c>
    </row>
    <row r="31" spans="1:17">
      <c r="A31" s="4"/>
      <c r="B31" s="4"/>
      <c r="C31" s="4" t="s">
        <v>123</v>
      </c>
      <c r="D31" s="15"/>
      <c r="E31" s="13">
        <f>E30/E19-1</f>
        <v>5.1941837483110209E-2</v>
      </c>
      <c r="F31" s="13"/>
      <c r="G31" s="13">
        <f>G30/G19-1</f>
        <v>9.6817368502979617E-2</v>
      </c>
      <c r="H31" s="13"/>
      <c r="I31" s="16"/>
      <c r="J31" s="13">
        <f>J30/J19-1</f>
        <v>5.4850446074414583E-2</v>
      </c>
      <c r="K31" s="13"/>
      <c r="L31" s="13">
        <f>L30/L19-1</f>
        <v>5.4850446074414583E-2</v>
      </c>
      <c r="M31" s="13"/>
      <c r="N31" s="16"/>
      <c r="O31" s="13">
        <f>O30/O19-1</f>
        <v>5.3193388631150196E-2</v>
      </c>
      <c r="P31" s="13">
        <f>P30/P19-1</f>
        <v>7.7097706254649623E-2</v>
      </c>
      <c r="Q31" s="13"/>
    </row>
    <row r="32" spans="1:17">
      <c r="A32" s="34" t="str">
        <f>說明!B18</f>
        <v>1.</v>
      </c>
      <c r="B32" s="34" t="str">
        <f>說明!C18</f>
        <v>資料來源：總額各案件核定醫療費用分攤明細(PHFB_DECIDE_DIST)</v>
      </c>
      <c r="C32" s="9"/>
      <c r="D32" s="15"/>
      <c r="E32" s="16"/>
      <c r="F32" s="16"/>
      <c r="G32" s="16"/>
      <c r="H32" s="16"/>
      <c r="I32" s="16"/>
      <c r="J32" s="16"/>
      <c r="K32" s="16"/>
      <c r="L32" s="16"/>
      <c r="M32" s="16"/>
      <c r="N32" s="16"/>
      <c r="O32" s="16"/>
      <c r="P32" s="16"/>
      <c r="Q32" s="16"/>
    </row>
    <row r="33" spans="1:17">
      <c r="A33" s="34" t="str">
        <f>說明!B19</f>
        <v>2.</v>
      </c>
      <c r="B33" s="34" t="str">
        <f>說明!C19</f>
        <v>資料處理：</v>
      </c>
      <c r="C33" s="9"/>
      <c r="D33" s="15"/>
      <c r="E33" s="16"/>
      <c r="F33" s="16"/>
      <c r="G33" s="16"/>
      <c r="H33" s="16"/>
      <c r="I33" s="16"/>
      <c r="J33" s="16"/>
      <c r="K33" s="16"/>
      <c r="L33" s="16"/>
      <c r="M33" s="16"/>
      <c r="N33" s="16"/>
      <c r="O33" s="16"/>
      <c r="P33" s="16"/>
      <c r="Q33" s="16"/>
    </row>
    <row r="34" spans="1:17">
      <c r="A34" s="34"/>
      <c r="B34" s="34" t="str">
        <f>說明!C20</f>
        <v>※本表僅含當季核定之送核、補報資料</v>
      </c>
      <c r="C34" s="9"/>
      <c r="D34" s="15"/>
      <c r="E34" s="16"/>
      <c r="F34" s="16"/>
      <c r="G34" s="16"/>
      <c r="H34" s="16"/>
      <c r="I34" s="16"/>
      <c r="J34" s="16"/>
      <c r="K34" s="16"/>
      <c r="L34" s="16"/>
      <c r="M34" s="16"/>
      <c r="N34" s="16"/>
      <c r="O34" s="16"/>
      <c r="P34" s="16"/>
      <c r="Q34" s="16"/>
    </row>
    <row r="35" spans="1:17">
      <c r="A35" s="34"/>
      <c r="B35" s="34" t="str">
        <f>說明!C21</f>
        <v>※本表不含申複、爭議審議等之核定醫療點數及費用</v>
      </c>
      <c r="C35" s="9"/>
      <c r="D35" s="15"/>
      <c r="E35" s="16"/>
      <c r="F35" s="16"/>
      <c r="G35" s="16"/>
      <c r="H35" s="16"/>
      <c r="I35" s="16"/>
      <c r="J35" s="16"/>
      <c r="K35" s="16"/>
      <c r="L35" s="16"/>
      <c r="M35" s="16"/>
      <c r="N35" s="16"/>
      <c r="O35" s="16"/>
      <c r="P35" s="16"/>
      <c r="Q35" s="16"/>
    </row>
    <row r="36" spans="1:17">
      <c r="A36" s="34"/>
      <c r="B36" s="34" t="str">
        <f>說明!C22</f>
        <v>※本表不含代辦、總額外及追扣、補付付款之項目</v>
      </c>
      <c r="C36" s="9"/>
      <c r="D36" s="15"/>
      <c r="E36" s="16"/>
      <c r="F36" s="16"/>
      <c r="G36" s="16"/>
      <c r="H36" s="16"/>
      <c r="I36" s="16"/>
      <c r="J36" s="16"/>
      <c r="K36" s="16"/>
      <c r="L36" s="16"/>
      <c r="M36" s="16"/>
      <c r="N36" s="16"/>
      <c r="O36" s="16"/>
      <c r="P36" s="16"/>
      <c r="Q36" s="16"/>
    </row>
    <row r="37" spans="1:17">
      <c r="A37" s="34"/>
      <c r="B37" s="34" t="str">
        <f>說明!C23</f>
        <v>※本表所謂浮動點值部分係指各總額別中一般部門預算之浮動點值部份</v>
      </c>
      <c r="C37" s="9"/>
      <c r="D37" s="15"/>
      <c r="E37" s="16"/>
      <c r="F37" s="16"/>
      <c r="G37" s="16"/>
      <c r="H37" s="16"/>
      <c r="I37" s="16"/>
      <c r="J37" s="16"/>
      <c r="K37" s="16"/>
      <c r="L37" s="16"/>
      <c r="M37" s="16"/>
      <c r="N37" s="16"/>
      <c r="O37" s="16"/>
      <c r="P37" s="16"/>
      <c r="Q37" s="16"/>
    </row>
    <row r="38" spans="1:17">
      <c r="A38" s="34"/>
      <c r="B38" s="34" t="str">
        <f>說明!C24</f>
        <v>※本表所謂固定點值部分係指各總額別中一般部門預算之非浮動點值及專款部份</v>
      </c>
      <c r="C38" s="9"/>
      <c r="D38" s="15"/>
      <c r="E38" s="16"/>
      <c r="F38" s="16"/>
      <c r="G38" s="16"/>
      <c r="H38" s="16"/>
      <c r="I38" s="16"/>
      <c r="J38" s="16"/>
      <c r="K38" s="16"/>
      <c r="L38" s="16"/>
      <c r="M38" s="16"/>
      <c r="N38" s="16"/>
      <c r="O38" s="16"/>
      <c r="P38" s="16"/>
      <c r="Q38" s="16"/>
    </row>
    <row r="39" spans="1:17">
      <c r="A39" s="34"/>
      <c r="B39" s="34" t="str">
        <f>說明!C25</f>
        <v>※層級別中不含處方釋出之醫療點數及費用</v>
      </c>
    </row>
    <row r="40" spans="1:17">
      <c r="A40" s="34"/>
      <c r="B40" s="34"/>
    </row>
    <row r="41" spans="1:17">
      <c r="A41" s="34"/>
      <c r="B41" s="34"/>
    </row>
    <row r="42" spans="1:17">
      <c r="A42" s="34"/>
      <c r="B42" s="34"/>
    </row>
  </sheetData>
  <mergeCells count="7">
    <mergeCell ref="A21:C21"/>
    <mergeCell ref="A1:Q1"/>
    <mergeCell ref="O2:Q2"/>
    <mergeCell ref="A4:C4"/>
    <mergeCell ref="A10:C10"/>
    <mergeCell ref="E2:H2"/>
    <mergeCell ref="J2:M2"/>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91" orientation="landscape" r:id="rId1"/>
  <headerFooter alignWithMargins="0"/>
</worksheet>
</file>

<file path=xl/worksheets/sheet21.xml><?xml version="1.0" encoding="utf-8"?>
<worksheet xmlns="http://schemas.openxmlformats.org/spreadsheetml/2006/main" xmlns:r="http://schemas.openxmlformats.org/officeDocument/2006/relationships">
  <sheetPr codeName="Sheet16">
    <pageSetUpPr fitToPage="1"/>
  </sheetPr>
  <dimension ref="A1:R44"/>
  <sheetViews>
    <sheetView showGridLines="0" zoomScale="75" workbookViewId="0">
      <pane ySplit="1" topLeftCell="A2" activePane="bottomLeft" state="frozen"/>
      <selection sqref="A1:D1"/>
      <selection pane="bottomLeft" activeCell="R9" sqref="R9"/>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375" style="3" bestFit="1" customWidth="1"/>
    <col min="6" max="6" width="11.125" style="3" bestFit="1" customWidth="1"/>
    <col min="7" max="7" width="11.5" style="3" bestFit="1" customWidth="1"/>
    <col min="8" max="8" width="11.125" style="3" bestFit="1" customWidth="1"/>
    <col min="9" max="9" width="1.875" style="3" customWidth="1"/>
    <col min="10" max="10" width="15.125" style="3" bestFit="1" customWidth="1"/>
    <col min="11" max="11" width="11.125" style="3" bestFit="1" customWidth="1"/>
    <col min="12" max="12" width="11.5" style="3" bestFit="1" customWidth="1"/>
    <col min="13" max="13" width="11.125" style="3" bestFit="1" customWidth="1"/>
    <col min="14" max="14" width="2.25" style="3" customWidth="1"/>
    <col min="15" max="15" width="15.125" style="3" bestFit="1" customWidth="1"/>
    <col min="16" max="16" width="12.375" style="3" bestFit="1" customWidth="1"/>
    <col min="17" max="17" width="11.125" style="3" bestFit="1" customWidth="1"/>
    <col min="18" max="16384" width="8.875" style="2"/>
  </cols>
  <sheetData>
    <row r="1" spans="1:18" ht="40.9" customHeight="1">
      <c r="A1" s="89" t="s">
        <v>212</v>
      </c>
      <c r="B1" s="89"/>
      <c r="C1" s="89"/>
      <c r="D1" s="89"/>
      <c r="E1" s="89"/>
      <c r="F1" s="89"/>
      <c r="G1" s="89"/>
      <c r="H1" s="89"/>
      <c r="I1" s="89"/>
      <c r="J1" s="89"/>
      <c r="K1" s="89"/>
      <c r="L1" s="89"/>
      <c r="M1" s="89"/>
      <c r="N1" s="89"/>
      <c r="O1" s="89"/>
      <c r="P1" s="89"/>
      <c r="Q1" s="89"/>
    </row>
    <row r="2" spans="1:18" s="3" customFormat="1">
      <c r="E2" s="90" t="s">
        <v>94</v>
      </c>
      <c r="F2" s="90"/>
      <c r="G2" s="90"/>
      <c r="H2" s="90"/>
      <c r="J2" s="90" t="s">
        <v>95</v>
      </c>
      <c r="K2" s="90"/>
      <c r="L2" s="90"/>
      <c r="M2" s="90"/>
      <c r="O2" s="90" t="s">
        <v>96</v>
      </c>
      <c r="P2" s="90"/>
      <c r="Q2" s="90"/>
    </row>
    <row r="3" spans="1:18" s="3" customFormat="1" ht="33">
      <c r="A3" s="4" t="s">
        <v>97</v>
      </c>
      <c r="B3" s="4" t="s">
        <v>98</v>
      </c>
      <c r="C3" s="4" t="s">
        <v>99</v>
      </c>
      <c r="E3" s="5" t="s">
        <v>218</v>
      </c>
      <c r="F3" s="6" t="s">
        <v>100</v>
      </c>
      <c r="G3" s="35" t="s">
        <v>219</v>
      </c>
      <c r="H3" s="6" t="s">
        <v>100</v>
      </c>
      <c r="J3" s="5" t="s">
        <v>218</v>
      </c>
      <c r="K3" s="6" t="s">
        <v>100</v>
      </c>
      <c r="L3" s="35" t="s">
        <v>219</v>
      </c>
      <c r="M3" s="6" t="s">
        <v>100</v>
      </c>
      <c r="O3" s="5" t="s">
        <v>220</v>
      </c>
      <c r="P3" s="35" t="s">
        <v>221</v>
      </c>
      <c r="Q3" s="35" t="s">
        <v>216</v>
      </c>
    </row>
    <row r="4" spans="1:18">
      <c r="A4" s="88">
        <f>lev_wk!B10</f>
        <v>2004</v>
      </c>
      <c r="B4" s="88"/>
      <c r="C4" s="88"/>
      <c r="D4" s="9"/>
      <c r="E4" s="10"/>
      <c r="F4" s="9"/>
      <c r="G4" s="9"/>
      <c r="H4" s="9"/>
      <c r="I4" s="9"/>
      <c r="J4" s="10"/>
      <c r="K4" s="9"/>
      <c r="L4" s="9"/>
      <c r="M4" s="9"/>
      <c r="N4" s="9"/>
      <c r="O4" s="10"/>
      <c r="P4" s="9"/>
      <c r="Q4" s="9"/>
    </row>
    <row r="5" spans="1:18">
      <c r="A5" s="2"/>
      <c r="B5" s="3" t="str">
        <f>lev_wk!C10</f>
        <v>Q1</v>
      </c>
      <c r="C5" s="3" t="s">
        <v>101</v>
      </c>
      <c r="D5" s="15"/>
      <c r="E5" s="65">
        <f>lev_wk!D10</f>
        <v>177.93448781000001</v>
      </c>
      <c r="F5" s="8">
        <f>E5/O5</f>
        <v>0.70956746525447756</v>
      </c>
      <c r="G5" s="65">
        <f>lev_wk!E10</f>
        <v>149.95327196</v>
      </c>
      <c r="H5" s="8">
        <f>G5/P5</f>
        <v>0.67308965052188996</v>
      </c>
      <c r="I5" s="16"/>
      <c r="J5" s="65">
        <f>lev_wk!F10</f>
        <v>72.83023369</v>
      </c>
      <c r="K5" s="8">
        <f>J5/O5</f>
        <v>0.29043253474552239</v>
      </c>
      <c r="L5" s="65">
        <f>lev_wk!G10</f>
        <v>72.83023369</v>
      </c>
      <c r="M5" s="8">
        <f>L5/P5</f>
        <v>0.32691034947811004</v>
      </c>
      <c r="N5" s="16"/>
      <c r="O5" s="65">
        <f>E5+J5</f>
        <v>250.76472150000001</v>
      </c>
      <c r="P5" s="65">
        <f>G5+L5</f>
        <v>222.78350565</v>
      </c>
      <c r="Q5" s="8">
        <f>P5/O5</f>
        <v>0.88841645793465407</v>
      </c>
    </row>
    <row r="6" spans="1:18">
      <c r="B6" s="3" t="str">
        <f>lev_wk!C11</f>
        <v>Q2</v>
      </c>
      <c r="C6" s="3" t="s">
        <v>101</v>
      </c>
      <c r="D6" s="15"/>
      <c r="E6" s="65">
        <f>lev_wk!D11</f>
        <v>190.98669483</v>
      </c>
      <c r="F6" s="8">
        <f>E6/O6</f>
        <v>0.71567189506023576</v>
      </c>
      <c r="G6" s="65">
        <f>lev_wk!E11</f>
        <v>159.78860968999999</v>
      </c>
      <c r="H6" s="8">
        <f>G6/P6</f>
        <v>0.67803169631187987</v>
      </c>
      <c r="I6" s="27"/>
      <c r="J6" s="65">
        <f>lev_wk!F11</f>
        <v>75.876788489999996</v>
      </c>
      <c r="K6" s="8">
        <f>J6/O6</f>
        <v>0.28432810493976429</v>
      </c>
      <c r="L6" s="65">
        <f>lev_wk!G11</f>
        <v>75.876788489999996</v>
      </c>
      <c r="M6" s="8">
        <f>L6/P6</f>
        <v>0.32196830368812018</v>
      </c>
      <c r="N6" s="27"/>
      <c r="O6" s="65">
        <f>E6+J6</f>
        <v>266.86348332</v>
      </c>
      <c r="P6" s="65">
        <f>G6+L6</f>
        <v>235.66539817999998</v>
      </c>
      <c r="Q6" s="8">
        <f>P6/O6</f>
        <v>0.8830934650486072</v>
      </c>
    </row>
    <row r="7" spans="1:18">
      <c r="B7" s="3" t="str">
        <f>lev_wk!C12</f>
        <v>Q3</v>
      </c>
      <c r="C7" s="3" t="s">
        <v>101</v>
      </c>
      <c r="D7" s="15"/>
      <c r="E7" s="65">
        <f>lev_wk!D12</f>
        <v>192.54995345</v>
      </c>
      <c r="F7" s="8">
        <f>E7/O7</f>
        <v>0.73383109514689138</v>
      </c>
      <c r="G7" s="65">
        <f>lev_wk!E12</f>
        <v>167.95324395</v>
      </c>
      <c r="H7" s="8">
        <f>G7/P7</f>
        <v>0.70629928904829642</v>
      </c>
      <c r="I7" s="27"/>
      <c r="J7" s="65">
        <f>lev_wk!F12</f>
        <v>69.840063439999994</v>
      </c>
      <c r="K7" s="8">
        <f>J7/O7</f>
        <v>0.26616890485310873</v>
      </c>
      <c r="L7" s="65">
        <f>lev_wk!G12</f>
        <v>69.840063439999994</v>
      </c>
      <c r="M7" s="8">
        <f>L7/P7</f>
        <v>0.29370071095170364</v>
      </c>
      <c r="N7" s="27"/>
      <c r="O7" s="65">
        <f>E7+J7</f>
        <v>262.39001688999997</v>
      </c>
      <c r="P7" s="65">
        <f>G7+L7</f>
        <v>237.79330739</v>
      </c>
      <c r="Q7" s="8">
        <f>P7/O7</f>
        <v>0.90625897360145569</v>
      </c>
    </row>
    <row r="8" spans="1:18">
      <c r="B8" s="4" t="str">
        <f>lev_wk!C13</f>
        <v>Q4</v>
      </c>
      <c r="C8" s="4" t="s">
        <v>101</v>
      </c>
      <c r="D8" s="15"/>
      <c r="E8" s="66">
        <f>lev_wk!D13</f>
        <v>197.60871108000001</v>
      </c>
      <c r="F8" s="13">
        <f>E8/O8</f>
        <v>0.73431183914783693</v>
      </c>
      <c r="G8" s="66">
        <f>lev_wk!E13</f>
        <v>170.47166424</v>
      </c>
      <c r="H8" s="13">
        <f>G8/P8</f>
        <v>0.70451482664688214</v>
      </c>
      <c r="I8" s="27"/>
      <c r="J8" s="66">
        <f>lev_wk!F13</f>
        <v>71.498636160000004</v>
      </c>
      <c r="K8" s="13">
        <f>J8/O8</f>
        <v>0.26568816085216296</v>
      </c>
      <c r="L8" s="66">
        <f>lev_wk!G13</f>
        <v>71.498636160000004</v>
      </c>
      <c r="M8" s="13">
        <f>L8/P8</f>
        <v>0.29548517335311786</v>
      </c>
      <c r="N8" s="27"/>
      <c r="O8" s="66">
        <f>E8+J8</f>
        <v>269.10734724000002</v>
      </c>
      <c r="P8" s="66">
        <f>G8+L8</f>
        <v>241.97030039999999</v>
      </c>
      <c r="Q8" s="13">
        <f>P8/O8</f>
        <v>0.89915902661773783</v>
      </c>
    </row>
    <row r="9" spans="1:18">
      <c r="A9" s="4"/>
      <c r="B9" s="4" t="s">
        <v>102</v>
      </c>
      <c r="C9" s="4" t="s">
        <v>101</v>
      </c>
      <c r="D9" s="15"/>
      <c r="E9" s="66">
        <f>SUM(E5:E8)</f>
        <v>759.07984716999999</v>
      </c>
      <c r="F9" s="13">
        <f>E9/O9</f>
        <v>0.7235357421797588</v>
      </c>
      <c r="G9" s="66">
        <f>SUM(G5:G8)</f>
        <v>648.16678983999998</v>
      </c>
      <c r="H9" s="13">
        <f>G9/P9</f>
        <v>0.69085285243192762</v>
      </c>
      <c r="I9" s="27"/>
      <c r="J9" s="66">
        <f>SUM(J5:J8)</f>
        <v>290.04572178000001</v>
      </c>
      <c r="K9" s="13">
        <f>J9/O9</f>
        <v>0.27646425782024114</v>
      </c>
      <c r="L9" s="66">
        <f>SUM(L5:L8)</f>
        <v>290.04572178000001</v>
      </c>
      <c r="M9" s="13">
        <f>L9/P9</f>
        <v>0.30914714756807243</v>
      </c>
      <c r="N9" s="27"/>
      <c r="O9" s="66">
        <f>SUM(O5:O8)</f>
        <v>1049.1255689500001</v>
      </c>
      <c r="P9" s="66">
        <f>SUM(P5:P8)</f>
        <v>938.21251161999999</v>
      </c>
      <c r="Q9" s="13">
        <f>P9/O9</f>
        <v>0.89428047450887538</v>
      </c>
      <c r="R9" s="83"/>
    </row>
    <row r="10" spans="1:18">
      <c r="A10" s="88">
        <f>lev_wk!B14</f>
        <v>2005</v>
      </c>
      <c r="B10" s="88"/>
      <c r="C10" s="88"/>
      <c r="D10" s="15"/>
      <c r="E10" s="7"/>
      <c r="F10" s="8"/>
      <c r="G10" s="7"/>
      <c r="H10" s="8"/>
      <c r="I10" s="27"/>
      <c r="J10" s="7"/>
      <c r="K10" s="8"/>
      <c r="L10" s="7"/>
      <c r="M10" s="8"/>
      <c r="N10" s="27"/>
      <c r="O10" s="7"/>
      <c r="P10" s="7"/>
      <c r="Q10" s="8"/>
    </row>
    <row r="11" spans="1:18">
      <c r="A11" s="2"/>
      <c r="B11" s="3" t="str">
        <f>lev_wk!C14</f>
        <v>Q1</v>
      </c>
      <c r="C11" s="3" t="s">
        <v>101</v>
      </c>
      <c r="D11" s="15"/>
      <c r="E11" s="65">
        <f>lev_wk!D14</f>
        <v>164.52759287000001</v>
      </c>
      <c r="F11" s="8">
        <f>E11/O11</f>
        <v>0.62974049123937015</v>
      </c>
      <c r="G11" s="65">
        <f>lev_wk!E14</f>
        <v>139.70400931</v>
      </c>
      <c r="H11" s="8">
        <f>G11/P11</f>
        <v>0.59086716659552918</v>
      </c>
      <c r="I11" s="27"/>
      <c r="J11" s="65">
        <f>lev_wk!F14</f>
        <v>96.734935359999994</v>
      </c>
      <c r="K11" s="8">
        <f>J11/O11</f>
        <v>0.37025950876062991</v>
      </c>
      <c r="L11" s="65">
        <f>lev_wk!G14</f>
        <v>96.734935359999994</v>
      </c>
      <c r="M11" s="8">
        <f>L11/P11</f>
        <v>0.40913283340447076</v>
      </c>
      <c r="N11" s="27"/>
      <c r="O11" s="65">
        <f>E11+J11</f>
        <v>261.26252822999999</v>
      </c>
      <c r="P11" s="65">
        <f>G11+L11</f>
        <v>236.43894467000001</v>
      </c>
      <c r="Q11" s="8">
        <f>P11/O11</f>
        <v>0.90498605472367333</v>
      </c>
    </row>
    <row r="12" spans="1:18">
      <c r="C12" s="3" t="s">
        <v>103</v>
      </c>
      <c r="D12" s="15"/>
      <c r="E12" s="8">
        <f>E11/E5-1</f>
        <v>-7.5347365791818888E-2</v>
      </c>
      <c r="F12" s="8"/>
      <c r="G12" s="8">
        <f>G11/G5-1</f>
        <v>-6.8349709986548213E-2</v>
      </c>
      <c r="H12" s="8"/>
      <c r="I12" s="16"/>
      <c r="J12" s="8">
        <f>J11/J5-1</f>
        <v>0.32822497551977836</v>
      </c>
      <c r="K12" s="8"/>
      <c r="L12" s="8">
        <f>L11/L5-1</f>
        <v>0.32822497551977836</v>
      </c>
      <c r="M12" s="8"/>
      <c r="N12" s="16"/>
      <c r="O12" s="8">
        <f>O11/O5-1</f>
        <v>4.1863172248493452E-2</v>
      </c>
      <c r="P12" s="8">
        <f>P11/P5-1</f>
        <v>6.1294659046496669E-2</v>
      </c>
      <c r="Q12" s="8"/>
    </row>
    <row r="13" spans="1:18">
      <c r="B13" s="3" t="str">
        <f>lev_wk!C15</f>
        <v>Q2</v>
      </c>
      <c r="C13" s="3" t="s">
        <v>101</v>
      </c>
      <c r="D13" s="15"/>
      <c r="E13" s="65">
        <f>lev_wk!D15</f>
        <v>175.16503619</v>
      </c>
      <c r="F13" s="8">
        <f>E13/O13</f>
        <v>0.63600304604603186</v>
      </c>
      <c r="G13" s="65">
        <f>lev_wk!E15</f>
        <v>152.76772586000001</v>
      </c>
      <c r="H13" s="8">
        <f>G13/P13</f>
        <v>0.60378182185404139</v>
      </c>
      <c r="I13" s="27"/>
      <c r="J13" s="65">
        <f>lev_wk!F15</f>
        <v>100.25036831</v>
      </c>
      <c r="K13" s="8">
        <f>J13/O13</f>
        <v>0.36399695395396808</v>
      </c>
      <c r="L13" s="65">
        <f>lev_wk!G15</f>
        <v>100.25036831</v>
      </c>
      <c r="M13" s="8">
        <f>L13/P13</f>
        <v>0.39621817814595861</v>
      </c>
      <c r="N13" s="27"/>
      <c r="O13" s="65">
        <f>E13+J13</f>
        <v>275.41540450000002</v>
      </c>
      <c r="P13" s="65">
        <f>G13+L13</f>
        <v>253.01809417000001</v>
      </c>
      <c r="Q13" s="8">
        <f>P13/O13</f>
        <v>0.91867807695556836</v>
      </c>
    </row>
    <row r="14" spans="1:18">
      <c r="C14" s="3" t="s">
        <v>103</v>
      </c>
      <c r="D14" s="15"/>
      <c r="E14" s="8">
        <f>E13/E6-1</f>
        <v>-8.2841679909079979E-2</v>
      </c>
      <c r="F14" s="8"/>
      <c r="G14" s="8">
        <f>G13/G6-1</f>
        <v>-4.3938575118845691E-2</v>
      </c>
      <c r="H14" s="8"/>
      <c r="I14" s="16"/>
      <c r="J14" s="8">
        <f>J13/J6-1</f>
        <v>0.32122577016042619</v>
      </c>
      <c r="K14" s="8"/>
      <c r="L14" s="8">
        <f>L13/L6-1</f>
        <v>0.32122577016042619</v>
      </c>
      <c r="M14" s="8"/>
      <c r="N14" s="16"/>
      <c r="O14" s="8">
        <f>O13/O6-1</f>
        <v>3.2046052437025629E-2</v>
      </c>
      <c r="P14" s="8">
        <f>P13/P6-1</f>
        <v>7.3632769698104505E-2</v>
      </c>
      <c r="Q14" s="8"/>
    </row>
    <row r="15" spans="1:18">
      <c r="B15" s="9" t="str">
        <f>lev_wk!C16</f>
        <v>Q3</v>
      </c>
      <c r="C15" s="9" t="s">
        <v>101</v>
      </c>
      <c r="D15" s="15"/>
      <c r="E15" s="68">
        <f>lev_wk!D16</f>
        <v>171.30937483</v>
      </c>
      <c r="F15" s="16">
        <f>E15/O15</f>
        <v>0.63034875578374983</v>
      </c>
      <c r="G15" s="68">
        <f>lev_wk!E16</f>
        <v>146.88238419999999</v>
      </c>
      <c r="H15" s="16">
        <f>G15/P15</f>
        <v>0.59384278443270844</v>
      </c>
      <c r="I15" s="27"/>
      <c r="J15" s="68">
        <f>lev_wk!F16</f>
        <v>100.4598216</v>
      </c>
      <c r="K15" s="16">
        <f>J15/O15</f>
        <v>0.36965124421625023</v>
      </c>
      <c r="L15" s="68">
        <f>lev_wk!G16</f>
        <v>100.4598216</v>
      </c>
      <c r="M15" s="16">
        <f>L15/P15</f>
        <v>0.40615721556729162</v>
      </c>
      <c r="N15" s="27"/>
      <c r="O15" s="68">
        <f>E15+J15</f>
        <v>271.76919642999997</v>
      </c>
      <c r="P15" s="68">
        <f>G15+L15</f>
        <v>247.34220579999999</v>
      </c>
      <c r="Q15" s="8">
        <f>P15/O15</f>
        <v>0.9101186192148466</v>
      </c>
    </row>
    <row r="16" spans="1:18">
      <c r="B16" s="9"/>
      <c r="C16" s="9" t="s">
        <v>103</v>
      </c>
      <c r="D16" s="15"/>
      <c r="E16" s="16">
        <f>E15/E7-1</f>
        <v>-0.11031204235276848</v>
      </c>
      <c r="F16" s="16"/>
      <c r="G16" s="16">
        <f>G15/G7-1</f>
        <v>-0.12545670005798071</v>
      </c>
      <c r="H16" s="16"/>
      <c r="I16" s="16"/>
      <c r="J16" s="16">
        <f>J15/J7-1</f>
        <v>0.43842683771766078</v>
      </c>
      <c r="K16" s="16"/>
      <c r="L16" s="16">
        <f>L15/L7-1</f>
        <v>0.43842683771766078</v>
      </c>
      <c r="M16" s="16"/>
      <c r="N16" s="16"/>
      <c r="O16" s="16">
        <f>O15/O7-1</f>
        <v>3.5745184405898911E-2</v>
      </c>
      <c r="P16" s="16">
        <f>P15/P7-1</f>
        <v>4.0156295880686921E-2</v>
      </c>
      <c r="Q16" s="8"/>
    </row>
    <row r="17" spans="1:17" ht="16.149999999999999" customHeight="1">
      <c r="B17" s="3" t="str">
        <f>lev_wk!C17</f>
        <v>Q4</v>
      </c>
      <c r="C17" s="3" t="s">
        <v>101</v>
      </c>
      <c r="D17" s="15"/>
      <c r="E17" s="68">
        <f>lev_wk!D17</f>
        <v>170.43697109999999</v>
      </c>
      <c r="F17" s="8">
        <f>E17/O17</f>
        <v>0.63071794538386206</v>
      </c>
      <c r="G17" s="65">
        <f>lev_wk!E17</f>
        <v>146.81179682000001</v>
      </c>
      <c r="H17" s="8">
        <f>G17/P17</f>
        <v>0.59533963657865518</v>
      </c>
      <c r="I17" s="27"/>
      <c r="J17" s="68">
        <f>lev_wk!F17</f>
        <v>99.789954179999995</v>
      </c>
      <c r="K17" s="8">
        <f>J17/O17</f>
        <v>0.369282054616138</v>
      </c>
      <c r="L17" s="65">
        <f>lev_wk!G17</f>
        <v>99.789954179999995</v>
      </c>
      <c r="M17" s="8">
        <f>L17/P17</f>
        <v>0.40466036342134487</v>
      </c>
      <c r="N17" s="27"/>
      <c r="O17" s="65">
        <f>E17+J17</f>
        <v>270.22692527999999</v>
      </c>
      <c r="P17" s="65">
        <f>G17+L17</f>
        <v>246.60175100000001</v>
      </c>
      <c r="Q17" s="8">
        <f>P17/O17</f>
        <v>0.91257283390424404</v>
      </c>
    </row>
    <row r="18" spans="1:17" ht="16.149999999999999" customHeight="1">
      <c r="B18" s="4"/>
      <c r="C18" s="4" t="s">
        <v>103</v>
      </c>
      <c r="D18" s="15"/>
      <c r="E18" s="13">
        <f>E17/E8-1</f>
        <v>-0.1375027438390598</v>
      </c>
      <c r="F18" s="13"/>
      <c r="G18" s="13">
        <f>G17/G8-1</f>
        <v>-0.13879061676015692</v>
      </c>
      <c r="H18" s="13"/>
      <c r="I18" s="27"/>
      <c r="J18" s="13">
        <f>J17/J8-1</f>
        <v>0.39569031717877157</v>
      </c>
      <c r="K18" s="13"/>
      <c r="L18" s="13">
        <f>L17/L8-1</f>
        <v>0.39569031717877157</v>
      </c>
      <c r="M18" s="13"/>
      <c r="N18" s="27"/>
      <c r="O18" s="13">
        <f>O17/O8-1</f>
        <v>4.1603399219030113E-3</v>
      </c>
      <c r="P18" s="13">
        <f>P17/P8-1</f>
        <v>1.9140574658723875E-2</v>
      </c>
      <c r="Q18" s="13"/>
    </row>
    <row r="19" spans="1:17">
      <c r="B19" s="3" t="s">
        <v>102</v>
      </c>
      <c r="C19" s="3" t="s">
        <v>101</v>
      </c>
      <c r="D19" s="15"/>
      <c r="E19" s="65">
        <f>E15+E13+E11+E17</f>
        <v>681.43897498999991</v>
      </c>
      <c r="F19" s="8">
        <f>E19/O19</f>
        <v>0.63173761544099905</v>
      </c>
      <c r="G19" s="65">
        <f>G15+G13+G11+G17</f>
        <v>586.16591618999996</v>
      </c>
      <c r="H19" s="8">
        <f>G19/P19</f>
        <v>0.59605991735703046</v>
      </c>
      <c r="I19" s="27"/>
      <c r="J19" s="65">
        <f>J15+J13+J11+J17</f>
        <v>397.23507945</v>
      </c>
      <c r="K19" s="8">
        <f>J19/O19</f>
        <v>0.36826238455900095</v>
      </c>
      <c r="L19" s="65">
        <f>L15+L13+L11+L17</f>
        <v>397.23507945</v>
      </c>
      <c r="M19" s="8">
        <f>L19/P19</f>
        <v>0.40394008264296938</v>
      </c>
      <c r="N19" s="27"/>
      <c r="O19" s="65">
        <f>O15+O13+O11+O17</f>
        <v>1078.67405444</v>
      </c>
      <c r="P19" s="65">
        <f>P15+P13+P11+P17</f>
        <v>983.40099564000013</v>
      </c>
      <c r="Q19" s="8">
        <f>P19/O19</f>
        <v>0.91167576673617001</v>
      </c>
    </row>
    <row r="20" spans="1:17">
      <c r="A20" s="4"/>
      <c r="B20" s="4"/>
      <c r="C20" s="4" t="s">
        <v>103</v>
      </c>
      <c r="D20" s="15"/>
      <c r="E20" s="13">
        <f>E19/E9-1</f>
        <v>-0.10228287902710187</v>
      </c>
      <c r="F20" s="13"/>
      <c r="G20" s="13">
        <f>G19/G9-1</f>
        <v>-9.5655739574847631E-2</v>
      </c>
      <c r="H20" s="13"/>
      <c r="I20" s="16"/>
      <c r="J20" s="13">
        <f>J19/J9-1</f>
        <v>0.36956020937727607</v>
      </c>
      <c r="K20" s="13"/>
      <c r="L20" s="13">
        <f>L19/L9-1</f>
        <v>0.36956020937727607</v>
      </c>
      <c r="M20" s="13"/>
      <c r="N20" s="16"/>
      <c r="O20" s="13">
        <f>O19/O9-1</f>
        <v>2.8164870216224935E-2</v>
      </c>
      <c r="P20" s="13">
        <f>P19/P9-1</f>
        <v>4.8164444046875587E-2</v>
      </c>
      <c r="Q20" s="13"/>
    </row>
    <row r="21" spans="1:17">
      <c r="A21" s="92">
        <f>lev_wk!B43</f>
        <v>2006</v>
      </c>
      <c r="B21" s="92"/>
      <c r="C21" s="92"/>
      <c r="D21" s="15"/>
      <c r="E21" s="27"/>
      <c r="F21" s="16"/>
      <c r="G21" s="27"/>
      <c r="H21" s="16"/>
      <c r="I21" s="27"/>
      <c r="J21" s="27"/>
      <c r="K21" s="16"/>
      <c r="L21" s="27"/>
      <c r="M21" s="16"/>
      <c r="N21" s="27"/>
      <c r="O21" s="27"/>
      <c r="P21" s="27"/>
      <c r="Q21" s="16"/>
    </row>
    <row r="22" spans="1:17">
      <c r="A22" s="15"/>
      <c r="B22" s="9" t="str">
        <f>lev_wk!C43</f>
        <v>Q1</v>
      </c>
      <c r="C22" s="9" t="s">
        <v>101</v>
      </c>
      <c r="D22" s="15"/>
      <c r="E22" s="68">
        <f>lev_wk!D43</f>
        <v>161.93414261000001</v>
      </c>
      <c r="F22" s="16">
        <f>E22/O22</f>
        <v>0.62767345632653071</v>
      </c>
      <c r="G22" s="68">
        <f>lev_wk!E43</f>
        <v>144.83026981</v>
      </c>
      <c r="H22" s="16">
        <f>G22/P22</f>
        <v>0.60123644965045686</v>
      </c>
      <c r="I22" s="27"/>
      <c r="J22" s="68">
        <f>lev_wk!F43</f>
        <v>96.056921020000004</v>
      </c>
      <c r="K22" s="16">
        <f>J22/O22</f>
        <v>0.37232654367346935</v>
      </c>
      <c r="L22" s="68">
        <f>lev_wk!G43</f>
        <v>96.057104690000003</v>
      </c>
      <c r="M22" s="16">
        <f>L22/P22</f>
        <v>0.39876355034954308</v>
      </c>
      <c r="N22" s="27"/>
      <c r="O22" s="68">
        <f>E22+J22</f>
        <v>257.99106362999999</v>
      </c>
      <c r="P22" s="68">
        <f>G22+L22</f>
        <v>240.88737450000002</v>
      </c>
      <c r="Q22" s="16">
        <f>P22/O22</f>
        <v>0.93370433498995387</v>
      </c>
    </row>
    <row r="23" spans="1:17">
      <c r="A23" s="9"/>
      <c r="B23" s="9"/>
      <c r="C23" s="9" t="s">
        <v>103</v>
      </c>
      <c r="D23" s="15"/>
      <c r="E23" s="16">
        <f>E22/E11-1</f>
        <v>-1.5763011023015361E-2</v>
      </c>
      <c r="F23" s="16"/>
      <c r="G23" s="16">
        <f>G22/G11-1</f>
        <v>3.6693725007024947E-2</v>
      </c>
      <c r="H23" s="16"/>
      <c r="I23" s="16"/>
      <c r="J23" s="16">
        <f>J22/J11-1</f>
        <v>-7.0089915031912309E-3</v>
      </c>
      <c r="K23" s="16"/>
      <c r="L23" s="16">
        <f>L22/L11-1</f>
        <v>-7.0070928096187535E-3</v>
      </c>
      <c r="M23" s="16"/>
      <c r="N23" s="16"/>
      <c r="O23" s="16">
        <f>O22/O11-1</f>
        <v>-1.2521752055924318E-2</v>
      </c>
      <c r="P23" s="16">
        <f>P22/P11-1</f>
        <v>1.8814285591608915E-2</v>
      </c>
      <c r="Q23" s="16"/>
    </row>
    <row r="24" spans="1:17">
      <c r="A24" s="9"/>
      <c r="B24" s="9" t="str">
        <f>lev_wk!C48</f>
        <v>Q2</v>
      </c>
      <c r="C24" s="9" t="s">
        <v>101</v>
      </c>
      <c r="D24" s="15"/>
      <c r="E24" s="68">
        <f>lev_wk!D48</f>
        <v>172.15057404999999</v>
      </c>
      <c r="F24" s="16">
        <f>E24/O24</f>
        <v>0.62803753609832991</v>
      </c>
      <c r="G24" s="68">
        <f>lev_wk!E48</f>
        <v>155.83798948</v>
      </c>
      <c r="H24" s="16">
        <f>G24/P24</f>
        <v>0.60449602178964312</v>
      </c>
      <c r="I24" s="27"/>
      <c r="J24" s="68">
        <f>lev_wk!F48</f>
        <v>101.95816015</v>
      </c>
      <c r="K24" s="16">
        <f>J24/O24</f>
        <v>0.3719624639016702</v>
      </c>
      <c r="L24" s="68">
        <f>lev_wk!G48</f>
        <v>101.96021574</v>
      </c>
      <c r="M24" s="16">
        <f>L24/P24</f>
        <v>0.39550397821035688</v>
      </c>
      <c r="N24" s="27"/>
      <c r="O24" s="68">
        <f>E24+J24</f>
        <v>274.10873419999996</v>
      </c>
      <c r="P24" s="68">
        <f>G24+L24</f>
        <v>257.79820522</v>
      </c>
      <c r="Q24" s="16">
        <f>P24/O24</f>
        <v>0.94049613549308064</v>
      </c>
    </row>
    <row r="25" spans="1:17">
      <c r="A25" s="9"/>
      <c r="B25" s="9"/>
      <c r="C25" s="9" t="s">
        <v>103</v>
      </c>
      <c r="D25" s="15"/>
      <c r="E25" s="16">
        <f>E24/E13-1</f>
        <v>-1.7209268502249797E-2</v>
      </c>
      <c r="F25" s="16"/>
      <c r="G25" s="16">
        <f>G24/G13-1</f>
        <v>2.009759327577898E-2</v>
      </c>
      <c r="H25" s="16"/>
      <c r="I25" s="16"/>
      <c r="J25" s="16">
        <f>J24/J13-1</f>
        <v>1.7035267488684669E-2</v>
      </c>
      <c r="K25" s="16"/>
      <c r="L25" s="16">
        <f>L24/L17-1</f>
        <v>2.1748296988746141E-2</v>
      </c>
      <c r="M25" s="16"/>
      <c r="N25" s="16"/>
      <c r="O25" s="16">
        <f>O24/O13-1</f>
        <v>-4.7443617119827808E-3</v>
      </c>
      <c r="P25" s="16">
        <f>P24/P13-1</f>
        <v>1.8892368412151139E-2</v>
      </c>
      <c r="Q25" s="16"/>
    </row>
    <row r="26" spans="1:17">
      <c r="A26" s="9"/>
      <c r="B26" s="9" t="str">
        <f>lev_wk!C54</f>
        <v>Q3</v>
      </c>
      <c r="C26" s="9" t="s">
        <v>101</v>
      </c>
      <c r="D26" s="15"/>
      <c r="E26" s="68">
        <f>lev_wk!D54</f>
        <v>163.54599929</v>
      </c>
      <c r="F26" s="16">
        <f>E26/O26</f>
        <v>0.62462875983947219</v>
      </c>
      <c r="G26" s="68">
        <f>lev_wk!E54</f>
        <v>145.73593083</v>
      </c>
      <c r="H26" s="16">
        <f>G26/P26</f>
        <v>0.59723166669429306</v>
      </c>
      <c r="I26" s="27"/>
      <c r="J26" s="68">
        <f>lev_wk!F54</f>
        <v>98.283121949999995</v>
      </c>
      <c r="K26" s="16">
        <f>J26/O26</f>
        <v>0.37537124016052781</v>
      </c>
      <c r="L26" s="68">
        <f>lev_wk!G54</f>
        <v>98.283164200000002</v>
      </c>
      <c r="M26" s="16">
        <f>L26/P26</f>
        <v>0.40276833330570683</v>
      </c>
      <c r="N26" s="27"/>
      <c r="O26" s="68">
        <f>E26+J26</f>
        <v>261.82912124000001</v>
      </c>
      <c r="P26" s="68">
        <f>G26+L26</f>
        <v>244.01909503000002</v>
      </c>
      <c r="Q26" s="16">
        <f>P26/O26</f>
        <v>0.93197843644872946</v>
      </c>
    </row>
    <row r="27" spans="1:17">
      <c r="A27" s="9"/>
      <c r="B27" s="9"/>
      <c r="C27" s="9" t="s">
        <v>103</v>
      </c>
      <c r="D27" s="15"/>
      <c r="E27" s="16">
        <f>E26/E15-1</f>
        <v>-4.5317867441312165E-2</v>
      </c>
      <c r="F27" s="16"/>
      <c r="G27" s="16">
        <f>G26/G15-1</f>
        <v>-7.8052475539812649E-3</v>
      </c>
      <c r="H27" s="16"/>
      <c r="I27" s="16"/>
      <c r="J27" s="16">
        <f>J26/J15-1</f>
        <v>-2.1667365274317785E-2</v>
      </c>
      <c r="K27" s="16"/>
      <c r="L27" s="16">
        <f>L26/L15-1</f>
        <v>-2.1666944708171765E-2</v>
      </c>
      <c r="M27" s="16"/>
      <c r="N27" s="16"/>
      <c r="O27" s="16">
        <f>O26/O15-1</f>
        <v>-3.6575429888943467E-2</v>
      </c>
      <c r="P27" s="16">
        <f>P26/P15-1</f>
        <v>-1.3435275873164287E-2</v>
      </c>
      <c r="Q27" s="16"/>
    </row>
    <row r="28" spans="1:17" ht="16.149999999999999" customHeight="1">
      <c r="A28" s="9"/>
      <c r="B28" s="9" t="str">
        <f>lev_wk!C60</f>
        <v>Q4</v>
      </c>
      <c r="C28" s="9" t="s">
        <v>101</v>
      </c>
      <c r="D28" s="15"/>
      <c r="E28" s="68">
        <f>lev_wk!D60</f>
        <v>165.69103687</v>
      </c>
      <c r="F28" s="16">
        <f>E28/O28</f>
        <v>0.63123122205537363</v>
      </c>
      <c r="G28" s="68">
        <f>lev_wk!E60</f>
        <v>151.77162238</v>
      </c>
      <c r="H28" s="16">
        <f>G28/P28</f>
        <v>0.61057309876747878</v>
      </c>
      <c r="I28" s="27"/>
      <c r="J28" s="68">
        <f>lev_wk!F60</f>
        <v>96.797621930000005</v>
      </c>
      <c r="K28" s="16">
        <f>J28/O28</f>
        <v>0.36876877794462642</v>
      </c>
      <c r="L28" s="68">
        <f>lev_wk!G60</f>
        <v>96.800780639999999</v>
      </c>
      <c r="M28" s="16">
        <f>L28/P28</f>
        <v>0.38942690123252122</v>
      </c>
      <c r="N28" s="27"/>
      <c r="O28" s="68">
        <f>E28+J28</f>
        <v>262.4886588</v>
      </c>
      <c r="P28" s="68">
        <f>G28+L28</f>
        <v>248.57240302</v>
      </c>
      <c r="Q28" s="16">
        <f>P28/O28</f>
        <v>0.94698340170725881</v>
      </c>
    </row>
    <row r="29" spans="1:17" ht="16.149999999999999" customHeight="1">
      <c r="A29" s="9"/>
      <c r="B29" s="4"/>
      <c r="C29" s="4" t="s">
        <v>103</v>
      </c>
      <c r="D29" s="15"/>
      <c r="E29" s="13">
        <f>E28/E17-1</f>
        <v>-2.7845685119664676E-2</v>
      </c>
      <c r="F29" s="13"/>
      <c r="G29" s="13">
        <f>G28/G17-1</f>
        <v>3.378356281601147E-2</v>
      </c>
      <c r="H29" s="13"/>
      <c r="I29" s="27"/>
      <c r="J29" s="13">
        <f>J28/J17-1</f>
        <v>-2.9986307485445396E-2</v>
      </c>
      <c r="K29" s="13"/>
      <c r="L29" s="13">
        <f>L28/L17-1</f>
        <v>-2.9954653898409012E-2</v>
      </c>
      <c r="M29" s="13"/>
      <c r="N29" s="27"/>
      <c r="O29" s="13">
        <f>O28/O17-1</f>
        <v>-2.8636178545057511E-2</v>
      </c>
      <c r="P29" s="13">
        <f>P28/P17-1</f>
        <v>7.9912328765257001E-3</v>
      </c>
      <c r="Q29" s="13"/>
    </row>
    <row r="30" spans="1:17">
      <c r="A30" s="9"/>
      <c r="B30" s="9" t="s">
        <v>102</v>
      </c>
      <c r="C30" s="9" t="s">
        <v>101</v>
      </c>
      <c r="D30" s="15"/>
      <c r="E30" s="68">
        <f>E26+E24+E22+E28</f>
        <v>663.32175282000003</v>
      </c>
      <c r="F30" s="16">
        <f>E30/O30</f>
        <v>0.62789730757549611</v>
      </c>
      <c r="G30" s="68">
        <f>G26+G24+G22+G28</f>
        <v>598.17581250000001</v>
      </c>
      <c r="H30" s="16">
        <f>G30/P30</f>
        <v>0.6034395689302835</v>
      </c>
      <c r="I30" s="27"/>
      <c r="J30" s="68">
        <f>J26+J24+J22+J28</f>
        <v>393.09582504999997</v>
      </c>
      <c r="K30" s="16">
        <f>J30/O30</f>
        <v>0.37210269242450383</v>
      </c>
      <c r="L30" s="68">
        <f>L26+L24+L22+L28</f>
        <v>393.10126527</v>
      </c>
      <c r="M30" s="16">
        <f>L30/P30</f>
        <v>0.39656043106971639</v>
      </c>
      <c r="N30" s="27"/>
      <c r="O30" s="68">
        <f>O26+O24+O22+O28</f>
        <v>1056.4175778700001</v>
      </c>
      <c r="P30" s="68">
        <f>P26+P24+P22+P28</f>
        <v>991.27707777000012</v>
      </c>
      <c r="Q30" s="16">
        <f>P30/O30</f>
        <v>0.93833830346581382</v>
      </c>
    </row>
    <row r="31" spans="1:17">
      <c r="A31" s="4"/>
      <c r="B31" s="4"/>
      <c r="C31" s="4" t="s">
        <v>103</v>
      </c>
      <c r="D31" s="11"/>
      <c r="E31" s="13">
        <f>E30/E19-1</f>
        <v>-2.6586712581659677E-2</v>
      </c>
      <c r="F31" s="13"/>
      <c r="G31" s="13">
        <f>G30/G19-1</f>
        <v>2.0488902507438178E-2</v>
      </c>
      <c r="H31" s="13"/>
      <c r="I31" s="13"/>
      <c r="J31" s="13">
        <f>J30/J19-1</f>
        <v>-1.0420163309169728E-2</v>
      </c>
      <c r="K31" s="13"/>
      <c r="L31" s="13">
        <f>L30/L19-1</f>
        <v>-1.0406468093713039E-2</v>
      </c>
      <c r="M31" s="13"/>
      <c r="N31" s="13"/>
      <c r="O31" s="13">
        <f>O30/O19-1</f>
        <v>-2.0633180596481893E-2</v>
      </c>
      <c r="P31" s="13">
        <f>P30/P19-1</f>
        <v>8.009023953523764E-3</v>
      </c>
      <c r="Q31" s="13"/>
    </row>
    <row r="32" spans="1:17">
      <c r="A32" s="9"/>
      <c r="B32" s="9"/>
      <c r="C32" s="9"/>
      <c r="D32" s="15"/>
      <c r="E32" s="16"/>
      <c r="F32" s="16"/>
      <c r="G32" s="16"/>
      <c r="H32" s="16"/>
      <c r="I32" s="16"/>
      <c r="J32" s="16"/>
      <c r="K32" s="16"/>
      <c r="L32" s="16"/>
      <c r="M32" s="16"/>
      <c r="N32" s="16"/>
      <c r="O32" s="16"/>
      <c r="P32" s="16"/>
      <c r="Q32" s="16"/>
    </row>
    <row r="33" spans="1:17">
      <c r="A33" s="9"/>
      <c r="B33" s="9"/>
      <c r="C33" s="9"/>
      <c r="D33" s="15"/>
      <c r="E33" s="16"/>
      <c r="F33" s="16"/>
      <c r="G33" s="16"/>
      <c r="H33" s="16"/>
      <c r="I33" s="16"/>
      <c r="J33" s="16"/>
      <c r="K33" s="16"/>
      <c r="L33" s="16"/>
      <c r="M33" s="16"/>
      <c r="N33" s="16"/>
      <c r="O33" s="16"/>
      <c r="P33" s="16"/>
      <c r="Q33" s="16"/>
    </row>
    <row r="34" spans="1:17">
      <c r="A34" s="34" t="str">
        <f>說明!B18</f>
        <v>1.</v>
      </c>
      <c r="B34" s="34" t="str">
        <f>說明!C18</f>
        <v>資料來源：總額各案件核定醫療費用分攤明細(PHFB_DECIDE_DIST)</v>
      </c>
      <c r="E34" s="7"/>
      <c r="F34" s="8"/>
      <c r="G34" s="7"/>
      <c r="H34" s="8"/>
      <c r="J34" s="7"/>
      <c r="K34" s="8"/>
      <c r="L34" s="7"/>
      <c r="M34" s="8"/>
      <c r="O34" s="7"/>
      <c r="P34" s="7"/>
      <c r="Q34" s="8"/>
    </row>
    <row r="35" spans="1:17">
      <c r="A35" s="34" t="str">
        <f>說明!B19</f>
        <v>2.</v>
      </c>
      <c r="B35" s="34" t="str">
        <f>說明!C19</f>
        <v>資料處理：</v>
      </c>
      <c r="E35" s="7"/>
      <c r="F35" s="8"/>
      <c r="G35" s="7"/>
      <c r="H35" s="8"/>
      <c r="J35" s="7"/>
      <c r="K35" s="8"/>
      <c r="L35" s="7"/>
      <c r="M35" s="8"/>
      <c r="O35" s="7"/>
      <c r="P35" s="7"/>
      <c r="Q35" s="8"/>
    </row>
    <row r="36" spans="1:17">
      <c r="A36" s="34"/>
      <c r="B36" s="34" t="str">
        <f>說明!C20</f>
        <v>※本表僅含當季核定之送核、補報資料</v>
      </c>
      <c r="E36" s="7"/>
      <c r="F36" s="8"/>
      <c r="G36" s="7"/>
      <c r="H36" s="8"/>
      <c r="J36" s="7"/>
      <c r="K36" s="8"/>
      <c r="L36" s="7"/>
      <c r="M36" s="8"/>
      <c r="O36" s="7"/>
      <c r="P36" s="7"/>
      <c r="Q36" s="8"/>
    </row>
    <row r="37" spans="1:17">
      <c r="A37" s="34"/>
      <c r="B37" s="34" t="str">
        <f>說明!C21</f>
        <v>※本表不含申複、爭議審議等之核定醫療點數及費用</v>
      </c>
      <c r="E37" s="7"/>
      <c r="F37" s="8"/>
      <c r="G37" s="7"/>
      <c r="H37" s="8"/>
      <c r="J37" s="7"/>
      <c r="K37" s="8"/>
      <c r="L37" s="7"/>
      <c r="M37" s="8"/>
      <c r="O37" s="7"/>
      <c r="P37" s="7"/>
      <c r="Q37" s="8"/>
    </row>
    <row r="38" spans="1:17">
      <c r="A38" s="34"/>
      <c r="B38" s="34" t="str">
        <f>說明!C22</f>
        <v>※本表不含代辦、總額外及追扣、補付付款之項目</v>
      </c>
      <c r="E38" s="7"/>
      <c r="F38" s="8"/>
      <c r="G38" s="7"/>
      <c r="H38" s="8"/>
      <c r="J38" s="7"/>
      <c r="K38" s="8"/>
      <c r="L38" s="7"/>
      <c r="M38" s="8"/>
      <c r="O38" s="7"/>
      <c r="P38" s="7"/>
      <c r="Q38" s="8"/>
    </row>
    <row r="39" spans="1:17">
      <c r="A39" s="34"/>
      <c r="B39" s="34" t="str">
        <f>說明!C23</f>
        <v>※本表所謂浮動點值部分係指各總額別中一般部門預算之浮動點值部份</v>
      </c>
      <c r="E39" s="7"/>
      <c r="F39" s="8"/>
      <c r="G39" s="7"/>
      <c r="H39" s="8"/>
      <c r="J39" s="7"/>
      <c r="K39" s="8"/>
      <c r="L39" s="7"/>
      <c r="M39" s="8"/>
      <c r="O39" s="7"/>
      <c r="P39" s="7"/>
      <c r="Q39" s="8"/>
    </row>
    <row r="40" spans="1:17">
      <c r="A40" s="34"/>
      <c r="B40" s="34" t="str">
        <f>說明!C24</f>
        <v>※本表所謂固定點值部分係指各總額別中一般部門預算之非浮動點值及專款部份</v>
      </c>
    </row>
    <row r="41" spans="1:17">
      <c r="A41" s="34"/>
      <c r="B41" s="34" t="str">
        <f>說明!C25</f>
        <v>※層級別中不含處方釋出之醫療點數及費用</v>
      </c>
    </row>
    <row r="42" spans="1:17">
      <c r="A42" s="34"/>
      <c r="B42" s="34"/>
    </row>
    <row r="43" spans="1:17">
      <c r="A43" s="34"/>
      <c r="B43" s="34"/>
    </row>
    <row r="44" spans="1:17">
      <c r="A44" s="34"/>
      <c r="B44" s="34"/>
    </row>
  </sheetData>
  <mergeCells count="7">
    <mergeCell ref="A21:C21"/>
    <mergeCell ref="A1:Q1"/>
    <mergeCell ref="A4:C4"/>
    <mergeCell ref="A10:C10"/>
    <mergeCell ref="E2:H2"/>
    <mergeCell ref="J2:M2"/>
    <mergeCell ref="O2:Q2"/>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87" orientation="landscape" r:id="rId1"/>
  <headerFooter alignWithMargins="0"/>
</worksheet>
</file>

<file path=xl/worksheets/sheet22.xml><?xml version="1.0" encoding="utf-8"?>
<worksheet xmlns="http://schemas.openxmlformats.org/spreadsheetml/2006/main" xmlns:r="http://schemas.openxmlformats.org/officeDocument/2006/relationships">
  <sheetPr codeName="Sheet17">
    <pageSetUpPr fitToPage="1"/>
  </sheetPr>
  <dimension ref="A1:R42"/>
  <sheetViews>
    <sheetView showGridLines="0" zoomScale="75" workbookViewId="0">
      <pane ySplit="3" topLeftCell="A4" activePane="bottomLeft" state="frozen"/>
      <selection pane="bottomLeft" activeCell="R4" sqref="R4"/>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375" style="3" bestFit="1" customWidth="1"/>
    <col min="6" max="6" width="11.125" style="3" bestFit="1" customWidth="1"/>
    <col min="7" max="7" width="11.5" style="3" bestFit="1" customWidth="1"/>
    <col min="8" max="8" width="11.125" style="3" bestFit="1" customWidth="1"/>
    <col min="9" max="9" width="1.875" style="3" customWidth="1"/>
    <col min="10" max="10" width="12.375" style="3" bestFit="1" customWidth="1"/>
    <col min="11" max="11" width="11.125" style="3" bestFit="1" customWidth="1"/>
    <col min="12" max="12" width="11.5" style="3" bestFit="1" customWidth="1"/>
    <col min="13" max="13" width="11.125" style="3" bestFit="1" customWidth="1"/>
    <col min="14" max="14" width="2.25" style="3" customWidth="1"/>
    <col min="15" max="16" width="12.375" style="3" bestFit="1" customWidth="1"/>
    <col min="17" max="17" width="11.125" style="3" bestFit="1" customWidth="1"/>
    <col min="18" max="16384" width="8.875" style="2"/>
  </cols>
  <sheetData>
    <row r="1" spans="1:18" ht="40.9" customHeight="1">
      <c r="A1" s="89" t="s">
        <v>213</v>
      </c>
      <c r="B1" s="89"/>
      <c r="C1" s="89"/>
      <c r="D1" s="89"/>
      <c r="E1" s="89"/>
      <c r="F1" s="89"/>
      <c r="G1" s="89"/>
      <c r="H1" s="89"/>
      <c r="I1" s="89"/>
      <c r="J1" s="89"/>
      <c r="K1" s="89"/>
      <c r="L1" s="89"/>
      <c r="M1" s="89"/>
      <c r="N1" s="89"/>
      <c r="O1" s="89"/>
      <c r="P1" s="89"/>
      <c r="Q1" s="89"/>
    </row>
    <row r="2" spans="1:18" s="3" customFormat="1">
      <c r="E2" s="90" t="s">
        <v>94</v>
      </c>
      <c r="F2" s="90"/>
      <c r="G2" s="90"/>
      <c r="H2" s="90"/>
      <c r="J2" s="90" t="s">
        <v>95</v>
      </c>
      <c r="K2" s="90"/>
      <c r="L2" s="90"/>
      <c r="M2" s="90"/>
      <c r="O2" s="90" t="s">
        <v>96</v>
      </c>
      <c r="P2" s="90"/>
      <c r="Q2" s="90"/>
    </row>
    <row r="3" spans="1:18" s="3" customFormat="1" ht="33">
      <c r="A3" s="4" t="s">
        <v>97</v>
      </c>
      <c r="B3" s="4" t="s">
        <v>98</v>
      </c>
      <c r="C3" s="4" t="s">
        <v>99</v>
      </c>
      <c r="E3" s="5" t="s">
        <v>218</v>
      </c>
      <c r="F3" s="6" t="s">
        <v>100</v>
      </c>
      <c r="G3" s="35" t="s">
        <v>219</v>
      </c>
      <c r="H3" s="6" t="s">
        <v>100</v>
      </c>
      <c r="J3" s="5" t="s">
        <v>218</v>
      </c>
      <c r="K3" s="6" t="s">
        <v>100</v>
      </c>
      <c r="L3" s="35" t="s">
        <v>219</v>
      </c>
      <c r="M3" s="6" t="s">
        <v>100</v>
      </c>
      <c r="O3" s="5" t="s">
        <v>220</v>
      </c>
      <c r="P3" s="35" t="s">
        <v>221</v>
      </c>
      <c r="Q3" s="35" t="s">
        <v>216</v>
      </c>
    </row>
    <row r="4" spans="1:18">
      <c r="A4" s="88">
        <f>lev_wk!B18</f>
        <v>2004</v>
      </c>
      <c r="B4" s="88"/>
      <c r="C4" s="88"/>
      <c r="D4" s="9"/>
      <c r="E4" s="10"/>
      <c r="F4" s="9"/>
      <c r="G4" s="9"/>
      <c r="H4" s="9"/>
      <c r="I4" s="9"/>
      <c r="J4" s="10"/>
      <c r="K4" s="9"/>
      <c r="L4" s="9"/>
      <c r="M4" s="9"/>
      <c r="N4" s="9"/>
      <c r="O4" s="10"/>
      <c r="P4" s="9"/>
      <c r="Q4" s="9"/>
      <c r="R4" s="83"/>
    </row>
    <row r="5" spans="1:18">
      <c r="A5" s="2"/>
      <c r="B5" s="3" t="str">
        <f>lev_wk!C18</f>
        <v>Q1</v>
      </c>
      <c r="C5" s="3" t="s">
        <v>101</v>
      </c>
      <c r="D5" s="15"/>
      <c r="E5" s="65">
        <f>lev_wk!D18</f>
        <v>115.36974032000001</v>
      </c>
      <c r="F5" s="8">
        <f>E5/O5</f>
        <v>0.76201865603464347</v>
      </c>
      <c r="G5" s="65">
        <f>lev_wk!E18</f>
        <v>95.027378929999998</v>
      </c>
      <c r="H5" s="8">
        <f>G5/P5</f>
        <v>0.72507997057408347</v>
      </c>
      <c r="I5" s="16"/>
      <c r="J5" s="65">
        <f>lev_wk!F18</f>
        <v>36.030411639999997</v>
      </c>
      <c r="K5" s="8">
        <f>J5/O5</f>
        <v>0.23798134396535645</v>
      </c>
      <c r="L5" s="65">
        <f>lev_wk!G18</f>
        <v>36.030411639999997</v>
      </c>
      <c r="M5" s="8">
        <f>L5/P5</f>
        <v>0.27492002942591642</v>
      </c>
      <c r="N5" s="16"/>
      <c r="O5" s="65">
        <f>E5+J5</f>
        <v>151.40015196000002</v>
      </c>
      <c r="P5" s="65">
        <f>G5+L5</f>
        <v>131.05779057000001</v>
      </c>
      <c r="Q5" s="8">
        <f>P5/O5</f>
        <v>0.86563843479249303</v>
      </c>
    </row>
    <row r="6" spans="1:18">
      <c r="B6" s="3" t="str">
        <f>lev_wk!C19</f>
        <v>Q2</v>
      </c>
      <c r="C6" s="3" t="s">
        <v>101</v>
      </c>
      <c r="D6" s="15"/>
      <c r="E6" s="65">
        <f>lev_wk!D19</f>
        <v>123.53012679</v>
      </c>
      <c r="F6" s="8">
        <f>E6/O6</f>
        <v>0.76942666605354937</v>
      </c>
      <c r="G6" s="65">
        <f>lev_wk!E19</f>
        <v>101.15244224</v>
      </c>
      <c r="H6" s="8">
        <f>G6/P6</f>
        <v>0.73208371789637661</v>
      </c>
      <c r="I6" s="27"/>
      <c r="J6" s="65">
        <f>lev_wk!F19</f>
        <v>37.018151869999997</v>
      </c>
      <c r="K6" s="8">
        <f>J6/O6</f>
        <v>0.23057333394645066</v>
      </c>
      <c r="L6" s="65">
        <f>lev_wk!G19</f>
        <v>37.018151869999997</v>
      </c>
      <c r="M6" s="8">
        <f>L6/P6</f>
        <v>0.26791628210362334</v>
      </c>
      <c r="N6" s="27"/>
      <c r="O6" s="65">
        <f>E6+J6</f>
        <v>160.54827865999999</v>
      </c>
      <c r="P6" s="65">
        <f>G6+L6</f>
        <v>138.17059411</v>
      </c>
      <c r="Q6" s="8">
        <f>P6/O6</f>
        <v>0.8606171007451896</v>
      </c>
    </row>
    <row r="7" spans="1:18">
      <c r="B7" s="3" t="str">
        <f>lev_wk!C20</f>
        <v>Q3</v>
      </c>
      <c r="C7" s="3" t="s">
        <v>101</v>
      </c>
      <c r="D7" s="15"/>
      <c r="E7" s="65">
        <f>lev_wk!D20</f>
        <v>126.64597499</v>
      </c>
      <c r="F7" s="8">
        <f>E7/O7</f>
        <v>0.77533025892404051</v>
      </c>
      <c r="G7" s="65">
        <f>lev_wk!E20</f>
        <v>106.03327029</v>
      </c>
      <c r="H7" s="8">
        <f>G7/P7</f>
        <v>0.74288444486459027</v>
      </c>
      <c r="I7" s="27"/>
      <c r="J7" s="65">
        <f>lev_wk!F20</f>
        <v>36.698578550000001</v>
      </c>
      <c r="K7" s="8">
        <f>J7/O7</f>
        <v>0.22466974107595949</v>
      </c>
      <c r="L7" s="65">
        <f>lev_wk!G20</f>
        <v>36.698578550000001</v>
      </c>
      <c r="M7" s="8">
        <f>L7/P7</f>
        <v>0.25711555513540985</v>
      </c>
      <c r="N7" s="27"/>
      <c r="O7" s="65">
        <f>E7+J7</f>
        <v>163.34455353999999</v>
      </c>
      <c r="P7" s="65">
        <f>G7+L7</f>
        <v>142.73184884</v>
      </c>
      <c r="Q7" s="8">
        <f>P7/O7</f>
        <v>0.87380843589038104</v>
      </c>
    </row>
    <row r="8" spans="1:18">
      <c r="B8" s="4" t="str">
        <f>lev_wk!C21</f>
        <v>Q4</v>
      </c>
      <c r="C8" s="4" t="s">
        <v>101</v>
      </c>
      <c r="D8" s="15"/>
      <c r="E8" s="66">
        <f>lev_wk!D21</f>
        <v>127.8712951</v>
      </c>
      <c r="F8" s="13">
        <f>E8/O8</f>
        <v>0.77301980561140071</v>
      </c>
      <c r="G8" s="66">
        <f>lev_wk!E21</f>
        <v>105.71237617</v>
      </c>
      <c r="H8" s="13">
        <f>G8/P8</f>
        <v>0.73791110598810561</v>
      </c>
      <c r="I8" s="27"/>
      <c r="J8" s="66">
        <f>lev_wk!F21</f>
        <v>37.546581869999997</v>
      </c>
      <c r="K8" s="13">
        <f>J8/O8</f>
        <v>0.22698019438859926</v>
      </c>
      <c r="L8" s="66">
        <f>lev_wk!G21</f>
        <v>37.546581869999997</v>
      </c>
      <c r="M8" s="13">
        <f>L8/P8</f>
        <v>0.2620888940118945</v>
      </c>
      <c r="N8" s="27"/>
      <c r="O8" s="66">
        <f>E8+J8</f>
        <v>165.41787697000001</v>
      </c>
      <c r="P8" s="66">
        <f>G8+L8</f>
        <v>143.25895803999998</v>
      </c>
      <c r="Q8" s="13">
        <f>P8/O8</f>
        <v>0.86604278004354551</v>
      </c>
    </row>
    <row r="9" spans="1:18">
      <c r="A9" s="4"/>
      <c r="B9" s="4" t="s">
        <v>102</v>
      </c>
      <c r="C9" s="4" t="s">
        <v>101</v>
      </c>
      <c r="D9" s="15"/>
      <c r="E9" s="66">
        <f>SUM(E5:E8)</f>
        <v>493.41713720000001</v>
      </c>
      <c r="F9" s="13">
        <f>E9/O9</f>
        <v>0.77010890111926145</v>
      </c>
      <c r="G9" s="66">
        <f>SUM(G5:G8)</f>
        <v>407.92546762999996</v>
      </c>
      <c r="H9" s="13">
        <f>G9/P9</f>
        <v>0.73471067612747931</v>
      </c>
      <c r="I9" s="27"/>
      <c r="J9" s="66">
        <f>SUM(J5:J8)</f>
        <v>147.29372393</v>
      </c>
      <c r="K9" s="13">
        <f>J9/O9</f>
        <v>0.22989109888073858</v>
      </c>
      <c r="L9" s="66">
        <f>SUM(L5:L8)</f>
        <v>147.29372393</v>
      </c>
      <c r="M9" s="13">
        <f>L9/P9</f>
        <v>0.26528932387252085</v>
      </c>
      <c r="N9" s="27"/>
      <c r="O9" s="66">
        <f>SUM(O5:O8)</f>
        <v>640.71086113000001</v>
      </c>
      <c r="P9" s="66">
        <f>SUM(P5:P8)</f>
        <v>555.2191915599999</v>
      </c>
      <c r="Q9" s="13">
        <f>P9/O9</f>
        <v>0.86656747254257349</v>
      </c>
    </row>
    <row r="10" spans="1:18">
      <c r="A10" s="88">
        <v>2005</v>
      </c>
      <c r="B10" s="88"/>
      <c r="C10" s="88"/>
      <c r="D10" s="15"/>
      <c r="E10" s="7"/>
      <c r="F10" s="8"/>
      <c r="G10" s="7"/>
      <c r="H10" s="8"/>
      <c r="I10" s="27"/>
      <c r="J10" s="7"/>
      <c r="K10" s="8"/>
      <c r="L10" s="7"/>
      <c r="M10" s="8"/>
      <c r="N10" s="27"/>
      <c r="O10" s="7"/>
      <c r="P10" s="7"/>
      <c r="Q10" s="8"/>
    </row>
    <row r="11" spans="1:18">
      <c r="A11" s="2"/>
      <c r="B11" s="3" t="str">
        <f>lev_wk!C22</f>
        <v>Q1</v>
      </c>
      <c r="C11" s="3" t="s">
        <v>101</v>
      </c>
      <c r="D11" s="15"/>
      <c r="E11" s="65">
        <f>lev_wk!D22</f>
        <v>112.65009879</v>
      </c>
      <c r="F11" s="8">
        <f>E11/O11</f>
        <v>0.68613907745638192</v>
      </c>
      <c r="G11" s="65">
        <f>lev_wk!E22</f>
        <v>95.96873635</v>
      </c>
      <c r="H11" s="8">
        <f>G11/P11</f>
        <v>0.65064289246644968</v>
      </c>
      <c r="I11" s="27"/>
      <c r="J11" s="65">
        <f>lev_wk!F22</f>
        <v>51.529587939999999</v>
      </c>
      <c r="K11" s="8">
        <f>J11/O11</f>
        <v>0.31386092254361797</v>
      </c>
      <c r="L11" s="65">
        <f>lev_wk!G22</f>
        <v>51.529587939999999</v>
      </c>
      <c r="M11" s="8">
        <f>L11/P11</f>
        <v>0.34935710753355026</v>
      </c>
      <c r="N11" s="27"/>
      <c r="O11" s="65">
        <f>E11+J11</f>
        <v>164.17968673000001</v>
      </c>
      <c r="P11" s="65">
        <f>G11+L11</f>
        <v>147.49832429</v>
      </c>
      <c r="Q11" s="8">
        <f>P11/O11</f>
        <v>0.89839569819966114</v>
      </c>
    </row>
    <row r="12" spans="1:18">
      <c r="C12" s="3" t="s">
        <v>103</v>
      </c>
      <c r="D12" s="15"/>
      <c r="E12" s="8">
        <f>E11/E5-1</f>
        <v>-2.3573265593357151E-2</v>
      </c>
      <c r="F12" s="8"/>
      <c r="G12" s="8">
        <f>G11/G5-1</f>
        <v>9.9061705226388685E-3</v>
      </c>
      <c r="H12" s="8"/>
      <c r="I12" s="16"/>
      <c r="J12" s="8">
        <f>J11/J5-1</f>
        <v>0.430169281851702</v>
      </c>
      <c r="K12" s="8"/>
      <c r="L12" s="8">
        <f>L11/L5-1</f>
        <v>0.430169281851702</v>
      </c>
      <c r="M12" s="8"/>
      <c r="N12" s="16"/>
      <c r="O12" s="8">
        <f>O11/O5-1</f>
        <v>8.4408995661882535E-2</v>
      </c>
      <c r="P12" s="8">
        <f>P11/P5-1</f>
        <v>0.12544491745585207</v>
      </c>
      <c r="Q12" s="8"/>
    </row>
    <row r="13" spans="1:18">
      <c r="B13" s="3" t="str">
        <f>lev_wk!C23</f>
        <v>Q2</v>
      </c>
      <c r="C13" s="3" t="s">
        <v>101</v>
      </c>
      <c r="D13" s="15"/>
      <c r="E13" s="65">
        <f>lev_wk!D23</f>
        <v>117.10314597999999</v>
      </c>
      <c r="F13" s="8">
        <f>E13/O13</f>
        <v>0.6886261557780321</v>
      </c>
      <c r="G13" s="65">
        <f>lev_wk!E23</f>
        <v>102.15337932</v>
      </c>
      <c r="H13" s="8">
        <f>G13/P13</f>
        <v>0.65861416055600175</v>
      </c>
      <c r="I13" s="27"/>
      <c r="J13" s="65">
        <f>lev_wk!F23</f>
        <v>52.950147809999997</v>
      </c>
      <c r="K13" s="8">
        <f>J13/O13</f>
        <v>0.3113738442219679</v>
      </c>
      <c r="L13" s="65">
        <f>lev_wk!G23</f>
        <v>52.950147809999997</v>
      </c>
      <c r="M13" s="8">
        <f>L13/P13</f>
        <v>0.3413858394439982</v>
      </c>
      <c r="N13" s="27"/>
      <c r="O13" s="65">
        <f>E13+J13</f>
        <v>170.05329379</v>
      </c>
      <c r="P13" s="65">
        <f>G13+L13</f>
        <v>155.10352713</v>
      </c>
      <c r="Q13" s="8">
        <f>P13/O13</f>
        <v>0.91208775598041891</v>
      </c>
    </row>
    <row r="14" spans="1:18">
      <c r="C14" s="3" t="s">
        <v>103</v>
      </c>
      <c r="D14" s="15"/>
      <c r="E14" s="8">
        <f>E13/E6-1</f>
        <v>-5.2027638738894932E-2</v>
      </c>
      <c r="F14" s="8"/>
      <c r="G14" s="8">
        <f>G13/G6-1</f>
        <v>9.8953328049669054E-3</v>
      </c>
      <c r="H14" s="8"/>
      <c r="I14" s="16"/>
      <c r="J14" s="8">
        <f>J13/J6-1</f>
        <v>0.43038334263552214</v>
      </c>
      <c r="K14" s="8"/>
      <c r="L14" s="8">
        <f>L13/L6-1</f>
        <v>0.43038334263552214</v>
      </c>
      <c r="M14" s="8"/>
      <c r="N14" s="16"/>
      <c r="O14" s="8">
        <f>O13/O6-1</f>
        <v>5.9203469568983591E-2</v>
      </c>
      <c r="P14" s="8">
        <f>P13/P6-1</f>
        <v>0.12255091706792109</v>
      </c>
      <c r="Q14" s="8"/>
    </row>
    <row r="15" spans="1:18">
      <c r="B15" s="3" t="str">
        <f>lev_wk!C24</f>
        <v>Q3</v>
      </c>
      <c r="C15" s="3" t="s">
        <v>101</v>
      </c>
      <c r="D15" s="15"/>
      <c r="E15" s="65">
        <f>lev_wk!D24</f>
        <v>116.56468264</v>
      </c>
      <c r="F15" s="8">
        <f>E15/O15</f>
        <v>0.68991733045935943</v>
      </c>
      <c r="G15" s="65">
        <f>lev_wk!E24</f>
        <v>100.1695342</v>
      </c>
      <c r="H15" s="8">
        <f>G15/P15</f>
        <v>0.6565935835453599</v>
      </c>
      <c r="I15" s="27"/>
      <c r="J15" s="65">
        <f>lev_wk!F24</f>
        <v>52.389882630000002</v>
      </c>
      <c r="K15" s="8">
        <f>J15/O15</f>
        <v>0.31008266954064062</v>
      </c>
      <c r="L15" s="65">
        <f>lev_wk!G24</f>
        <v>52.389882630000002</v>
      </c>
      <c r="M15" s="8">
        <f>L15/P15</f>
        <v>0.34340641645464004</v>
      </c>
      <c r="N15" s="27"/>
      <c r="O15" s="65">
        <f>E15+J15</f>
        <v>168.95456526999999</v>
      </c>
      <c r="P15" s="65">
        <f>G15+L15</f>
        <v>152.55941683</v>
      </c>
      <c r="Q15" s="8">
        <f>P15/O15</f>
        <v>0.90296119898388361</v>
      </c>
    </row>
    <row r="16" spans="1:18" s="15" customFormat="1">
      <c r="A16" s="9"/>
      <c r="B16" s="9"/>
      <c r="C16" s="9" t="s">
        <v>103</v>
      </c>
      <c r="E16" s="16">
        <f>E15/E7-1</f>
        <v>-7.9602153568607448E-2</v>
      </c>
      <c r="F16" s="16"/>
      <c r="G16" s="16">
        <f>G15/G7-1</f>
        <v>-5.5300907667590882E-2</v>
      </c>
      <c r="H16" s="16"/>
      <c r="I16" s="16"/>
      <c r="J16" s="16">
        <f>J15/J7-1</f>
        <v>0.42757253005375606</v>
      </c>
      <c r="K16" s="16"/>
      <c r="L16" s="16">
        <f>L15/L7-1</f>
        <v>0.42757253005375606</v>
      </c>
      <c r="M16" s="16"/>
      <c r="N16" s="16"/>
      <c r="O16" s="16">
        <f>O15/O7-1</f>
        <v>3.4344651281110528E-2</v>
      </c>
      <c r="P16" s="16">
        <f>P15/P7-1</f>
        <v>6.8853364332277067E-2</v>
      </c>
      <c r="Q16" s="16"/>
    </row>
    <row r="17" spans="1:17" ht="16.149999999999999" customHeight="1">
      <c r="B17" s="3" t="str">
        <f>lev_wk!C25</f>
        <v>Q4</v>
      </c>
      <c r="C17" s="3" t="s">
        <v>101</v>
      </c>
      <c r="D17" s="15"/>
      <c r="E17" s="65">
        <f>lev_wk!D25</f>
        <v>115.95637365</v>
      </c>
      <c r="F17" s="8">
        <f>E17/O17</f>
        <v>0.68718110937750476</v>
      </c>
      <c r="G17" s="65">
        <f>lev_wk!E25</f>
        <v>99.875831079999998</v>
      </c>
      <c r="H17" s="8">
        <f>G17/P17</f>
        <v>0.65423045668384239</v>
      </c>
      <c r="I17" s="27"/>
      <c r="J17" s="65">
        <f>lev_wk!F25</f>
        <v>52.785712050000001</v>
      </c>
      <c r="K17" s="8">
        <f>J17/O17</f>
        <v>0.31281889062249513</v>
      </c>
      <c r="L17" s="65">
        <f>lev_wk!G25</f>
        <v>52.785712050000001</v>
      </c>
      <c r="M17" s="8">
        <f>L17/P17</f>
        <v>0.34576954331615767</v>
      </c>
      <c r="N17" s="27"/>
      <c r="O17" s="65">
        <f>E17+J17</f>
        <v>168.74208570000002</v>
      </c>
      <c r="P17" s="65">
        <f>G17+L17</f>
        <v>152.66154312999998</v>
      </c>
      <c r="Q17" s="8">
        <f>P17/O17</f>
        <v>0.90470342651453883</v>
      </c>
    </row>
    <row r="18" spans="1:17" ht="16.149999999999999" customHeight="1">
      <c r="B18" s="4"/>
      <c r="C18" s="4" t="s">
        <v>103</v>
      </c>
      <c r="D18" s="15"/>
      <c r="E18" s="13">
        <f>E17/E8-1</f>
        <v>-9.317901598386169E-2</v>
      </c>
      <c r="F18" s="13"/>
      <c r="G18" s="13">
        <f>G17/G8-1</f>
        <v>-5.5211558962727669E-2</v>
      </c>
      <c r="H18" s="13"/>
      <c r="I18" s="27"/>
      <c r="J18" s="13">
        <f>J17/J8-1</f>
        <v>0.4058726366294394</v>
      </c>
      <c r="K18" s="13"/>
      <c r="L18" s="13">
        <f>L17/L8-1</f>
        <v>0.4058726366294394</v>
      </c>
      <c r="M18" s="13"/>
      <c r="N18" s="27"/>
      <c r="O18" s="13">
        <f>O17/O8-1</f>
        <v>2.0095825136257073E-2</v>
      </c>
      <c r="P18" s="13">
        <f>P17/P8-1</f>
        <v>6.5633487906387344E-2</v>
      </c>
      <c r="Q18" s="13"/>
    </row>
    <row r="19" spans="1:17">
      <c r="B19" s="3" t="s">
        <v>102</v>
      </c>
      <c r="C19" s="3" t="s">
        <v>101</v>
      </c>
      <c r="D19" s="15"/>
      <c r="E19" s="65">
        <f>E15+E13+E11+E17</f>
        <v>462.27430105999997</v>
      </c>
      <c r="F19" s="8">
        <f>E19/O19</f>
        <v>0.68798022798147684</v>
      </c>
      <c r="G19" s="65">
        <f>G15+G13+G11+G17</f>
        <v>398.16748095000003</v>
      </c>
      <c r="H19" s="8">
        <f>G19/P19</f>
        <v>0.65507163188890716</v>
      </c>
      <c r="I19" s="27"/>
      <c r="J19" s="65">
        <f>J15+J13+J11+J17</f>
        <v>209.65533042999999</v>
      </c>
      <c r="K19" s="8">
        <f>J19/O19</f>
        <v>0.31201977201852304</v>
      </c>
      <c r="L19" s="65">
        <f>L15+L13+L11+L17</f>
        <v>209.65533042999999</v>
      </c>
      <c r="M19" s="8">
        <f>L19/P19</f>
        <v>0.34492836811109279</v>
      </c>
      <c r="N19" s="27"/>
      <c r="O19" s="65">
        <f>O15+O13+O11+O17</f>
        <v>671.92963149000002</v>
      </c>
      <c r="P19" s="65">
        <f>P15+P13+P11+P17</f>
        <v>607.82281138000008</v>
      </c>
      <c r="Q19" s="8">
        <f>P19/O19</f>
        <v>0.90459295571197917</v>
      </c>
    </row>
    <row r="20" spans="1:17">
      <c r="A20" s="4"/>
      <c r="B20" s="4"/>
      <c r="C20" s="4" t="s">
        <v>103</v>
      </c>
      <c r="D20" s="15"/>
      <c r="E20" s="13">
        <f>E19/E9-1</f>
        <v>-6.3116648758343996E-2</v>
      </c>
      <c r="F20" s="13"/>
      <c r="G20" s="13">
        <f>G19/G9-1</f>
        <v>-2.392100384585627E-2</v>
      </c>
      <c r="H20" s="13"/>
      <c r="I20" s="16"/>
      <c r="J20" s="13">
        <f>J19/J9-1</f>
        <v>0.4233826454794285</v>
      </c>
      <c r="K20" s="13"/>
      <c r="L20" s="13">
        <f>L19/L9-1</f>
        <v>0.4233826454794285</v>
      </c>
      <c r="M20" s="13"/>
      <c r="N20" s="16"/>
      <c r="O20" s="13">
        <f>O19/O9-1</f>
        <v>4.8725208598681347E-2</v>
      </c>
      <c r="P20" s="13">
        <f>P19/P9-1</f>
        <v>9.4743878849359975E-2</v>
      </c>
      <c r="Q20" s="13"/>
    </row>
    <row r="21" spans="1:17">
      <c r="A21" s="92">
        <f>lev_wk!B44</f>
        <v>2006</v>
      </c>
      <c r="B21" s="92"/>
      <c r="C21" s="92"/>
      <c r="D21" s="15"/>
      <c r="E21" s="27"/>
      <c r="F21" s="16"/>
      <c r="G21" s="27"/>
      <c r="H21" s="16"/>
      <c r="I21" s="27"/>
      <c r="J21" s="27"/>
      <c r="K21" s="16"/>
      <c r="L21" s="27"/>
      <c r="M21" s="16"/>
      <c r="N21" s="27"/>
      <c r="O21" s="27"/>
      <c r="P21" s="27"/>
      <c r="Q21" s="16"/>
    </row>
    <row r="22" spans="1:17">
      <c r="A22" s="15"/>
      <c r="B22" s="9" t="str">
        <f>lev_wk!C44</f>
        <v>Q1</v>
      </c>
      <c r="C22" s="9" t="s">
        <v>101</v>
      </c>
      <c r="D22" s="15"/>
      <c r="E22" s="68">
        <f>lev_wk!D44</f>
        <v>111.04703809</v>
      </c>
      <c r="F22" s="16">
        <f>E22/O22</f>
        <v>0.68293078632855375</v>
      </c>
      <c r="G22" s="68">
        <f>lev_wk!E44</f>
        <v>99.695404819999993</v>
      </c>
      <c r="H22" s="16">
        <f>G22/P22</f>
        <v>0.65913383488852018</v>
      </c>
      <c r="I22" s="27"/>
      <c r="J22" s="68">
        <f>lev_wk!F44</f>
        <v>51.556611230000001</v>
      </c>
      <c r="K22" s="16">
        <f>J22/O22</f>
        <v>0.3170692136714463</v>
      </c>
      <c r="L22" s="68">
        <f>lev_wk!G44</f>
        <v>51.556737830000003</v>
      </c>
      <c r="M22" s="16">
        <f>L22/P22</f>
        <v>0.34086616511147988</v>
      </c>
      <c r="N22" s="27"/>
      <c r="O22" s="68">
        <f>E22+J22</f>
        <v>162.60364931999999</v>
      </c>
      <c r="P22" s="68">
        <f>G22+L22</f>
        <v>151.25214265</v>
      </c>
      <c r="Q22" s="16">
        <f>P22/O22</f>
        <v>0.93018910265869548</v>
      </c>
    </row>
    <row r="23" spans="1:17">
      <c r="A23" s="9"/>
      <c r="B23" s="9"/>
      <c r="C23" s="9" t="s">
        <v>103</v>
      </c>
      <c r="D23" s="15"/>
      <c r="E23" s="16">
        <f>E22/E11-1</f>
        <v>-1.4230442025518264E-2</v>
      </c>
      <c r="F23" s="16"/>
      <c r="G23" s="16">
        <f>G22/G11-1</f>
        <v>3.8832109411222726E-2</v>
      </c>
      <c r="H23" s="16"/>
      <c r="I23" s="16"/>
      <c r="J23" s="16">
        <f>J22/J11-1</f>
        <v>5.2442278466235948E-4</v>
      </c>
      <c r="K23" s="16"/>
      <c r="L23" s="16">
        <f>L22/L11-1</f>
        <v>5.2687962557773638E-4</v>
      </c>
      <c r="M23" s="16"/>
      <c r="N23" s="16"/>
      <c r="O23" s="16">
        <f>O22/O11-1</f>
        <v>-9.5994665441887506E-3</v>
      </c>
      <c r="P23" s="16">
        <f>P22/P11-1</f>
        <v>2.5449905129901751E-2</v>
      </c>
      <c r="Q23" s="16"/>
    </row>
    <row r="24" spans="1:17">
      <c r="A24" s="9"/>
      <c r="B24" s="9" t="str">
        <f>lev_wk!C49</f>
        <v>Q2</v>
      </c>
      <c r="C24" s="9" t="s">
        <v>101</v>
      </c>
      <c r="D24" s="15"/>
      <c r="E24" s="68">
        <f>lev_wk!D49</f>
        <v>115.58602505</v>
      </c>
      <c r="F24" s="16">
        <f>E24/O24</f>
        <v>0.68196171112282711</v>
      </c>
      <c r="G24" s="68">
        <f>lev_wk!E49</f>
        <v>105.44401101</v>
      </c>
      <c r="H24" s="16">
        <f>G24/P24</f>
        <v>0.66171905209713078</v>
      </c>
      <c r="I24" s="27"/>
      <c r="J24" s="68">
        <f>lev_wk!F49</f>
        <v>53.904465639999998</v>
      </c>
      <c r="K24" s="16">
        <f>J24/O24</f>
        <v>0.31803828887717284</v>
      </c>
      <c r="L24" s="68">
        <f>lev_wk!G49</f>
        <v>53.904598759999999</v>
      </c>
      <c r="M24" s="16">
        <f>L24/P24</f>
        <v>0.33828094790286917</v>
      </c>
      <c r="N24" s="27"/>
      <c r="O24" s="68">
        <f>E24+J24</f>
        <v>169.49049069</v>
      </c>
      <c r="P24" s="68">
        <f>G24+L24</f>
        <v>159.34860977</v>
      </c>
      <c r="Q24" s="16">
        <f>P24/O24</f>
        <v>0.94016253726853849</v>
      </c>
    </row>
    <row r="25" spans="1:17">
      <c r="A25" s="9"/>
      <c r="B25" s="9"/>
      <c r="C25" s="9" t="s">
        <v>103</v>
      </c>
      <c r="D25" s="15"/>
      <c r="E25" s="16">
        <f>E24/E13-1</f>
        <v>-1.2955424188681453E-2</v>
      </c>
      <c r="F25" s="16"/>
      <c r="G25" s="16">
        <f>G24/G13-1</f>
        <v>3.2212656222482261E-2</v>
      </c>
      <c r="H25" s="16"/>
      <c r="I25" s="16"/>
      <c r="J25" s="16">
        <f>J24/J13-1</f>
        <v>1.8022949311196745E-2</v>
      </c>
      <c r="K25" s="16"/>
      <c r="L25" s="16">
        <f>L24/L13-1</f>
        <v>1.8025463374055972E-2</v>
      </c>
      <c r="M25" s="16"/>
      <c r="N25" s="16"/>
      <c r="O25" s="16">
        <f>O24/O13-1</f>
        <v>-3.3095689442804721E-3</v>
      </c>
      <c r="P25" s="16">
        <f>P24/P13-1</f>
        <v>2.7369349482568417E-2</v>
      </c>
      <c r="Q25" s="16"/>
    </row>
    <row r="26" spans="1:17">
      <c r="A26" s="9"/>
      <c r="B26" s="9" t="str">
        <f>lev_wk!C55</f>
        <v>Q3</v>
      </c>
      <c r="C26" s="9" t="s">
        <v>101</v>
      </c>
      <c r="D26" s="15"/>
      <c r="E26" s="68">
        <f>lev_wk!D55</f>
        <v>116.96024235</v>
      </c>
      <c r="F26" s="16">
        <f>E26/O26</f>
        <v>0.67723174591629198</v>
      </c>
      <c r="G26" s="68">
        <f>lev_wk!E55</f>
        <v>105.13567925</v>
      </c>
      <c r="H26" s="16">
        <f>G26/P26</f>
        <v>0.65350767824681666</v>
      </c>
      <c r="I26" s="27"/>
      <c r="J26" s="68">
        <f>lev_wk!F55</f>
        <v>55.743183109999997</v>
      </c>
      <c r="K26" s="16">
        <f>J26/O26</f>
        <v>0.32276825408370796</v>
      </c>
      <c r="L26" s="68">
        <f>lev_wk!G55</f>
        <v>55.743347499999999</v>
      </c>
      <c r="M26" s="16">
        <f>L26/P26</f>
        <v>0.34649232175318345</v>
      </c>
      <c r="N26" s="27"/>
      <c r="O26" s="68">
        <f>E26+J26</f>
        <v>172.70342546000001</v>
      </c>
      <c r="P26" s="68">
        <f>G26+L26</f>
        <v>160.87902674999998</v>
      </c>
      <c r="Q26" s="16">
        <f>P26/O26</f>
        <v>0.93153350213809927</v>
      </c>
    </row>
    <row r="27" spans="1:17" s="15" customFormat="1">
      <c r="A27" s="9"/>
      <c r="B27" s="9"/>
      <c r="C27" s="9" t="s">
        <v>103</v>
      </c>
      <c r="E27" s="16">
        <f>E26/E15-1</f>
        <v>3.3934782049005463E-3</v>
      </c>
      <c r="F27" s="16"/>
      <c r="G27" s="16">
        <f>G26/G15-1</f>
        <v>4.9577399851780335E-2</v>
      </c>
      <c r="H27" s="16"/>
      <c r="I27" s="16"/>
      <c r="J27" s="16">
        <f>J26/J15-1</f>
        <v>6.4006642345096454E-2</v>
      </c>
      <c r="K27" s="16"/>
      <c r="L27" s="16">
        <f>L26/L15-1</f>
        <v>6.4009780164685948E-2</v>
      </c>
      <c r="M27" s="16"/>
      <c r="N27" s="16"/>
      <c r="O27" s="16">
        <f>O26/O15-1</f>
        <v>2.2188569950797765E-2</v>
      </c>
      <c r="P27" s="16">
        <f>P26/P15-1</f>
        <v>5.4533571855945651E-2</v>
      </c>
      <c r="Q27" s="16"/>
    </row>
    <row r="28" spans="1:17" ht="16.149999999999999" customHeight="1">
      <c r="B28" s="3" t="str">
        <f>lev_wk!C61</f>
        <v>Q4</v>
      </c>
      <c r="C28" s="3" t="s">
        <v>101</v>
      </c>
      <c r="D28" s="15"/>
      <c r="E28" s="68">
        <f>lev_wk!D61</f>
        <v>118.41233762</v>
      </c>
      <c r="F28" s="8">
        <f>E28/O28</f>
        <v>0.68239508425563755</v>
      </c>
      <c r="G28" s="68">
        <f>lev_wk!E61</f>
        <v>109.19537301</v>
      </c>
      <c r="H28" s="8">
        <f>G28/P28</f>
        <v>0.66457737927905458</v>
      </c>
      <c r="I28" s="27"/>
      <c r="J28" s="68">
        <f>lev_wk!F61</f>
        <v>55.112267629999998</v>
      </c>
      <c r="K28" s="8">
        <f>J28/O28</f>
        <v>0.31760491574436239</v>
      </c>
      <c r="L28" s="68">
        <f>lev_wk!G61</f>
        <v>55.112616420000002</v>
      </c>
      <c r="M28" s="8">
        <f>L28/P28</f>
        <v>0.33542262072094547</v>
      </c>
      <c r="N28" s="27"/>
      <c r="O28" s="68">
        <f>E28+J28</f>
        <v>173.52460525000001</v>
      </c>
      <c r="P28" s="68">
        <f>G28+L28</f>
        <v>164.30798942999999</v>
      </c>
      <c r="Q28" s="8">
        <f>P28/O28</f>
        <v>0.94688582747834826</v>
      </c>
    </row>
    <row r="29" spans="1:17" ht="16.149999999999999" customHeight="1">
      <c r="B29" s="4"/>
      <c r="C29" s="4" t="s">
        <v>103</v>
      </c>
      <c r="D29" s="15"/>
      <c r="E29" s="13">
        <f>E28/E17-1</f>
        <v>2.1180068785291883E-2</v>
      </c>
      <c r="F29" s="13"/>
      <c r="G29" s="13">
        <f>G28/G17-1</f>
        <v>9.3311282912230231E-2</v>
      </c>
      <c r="H29" s="13"/>
      <c r="I29" s="27"/>
      <c r="J29" s="13">
        <f>J28/J17-1</f>
        <v>4.4075479701708442E-2</v>
      </c>
      <c r="K29" s="13"/>
      <c r="L29" s="13">
        <f>L28/L17-1</f>
        <v>4.4082087360986844E-2</v>
      </c>
      <c r="M29" s="13"/>
      <c r="N29" s="27"/>
      <c r="O29" s="13">
        <f>O28/O17-1</f>
        <v>2.8342185828511335E-2</v>
      </c>
      <c r="P29" s="13">
        <f>P28/P17-1</f>
        <v>7.6289326448655048E-2</v>
      </c>
      <c r="Q29" s="13"/>
    </row>
    <row r="30" spans="1:17">
      <c r="B30" s="3" t="s">
        <v>102</v>
      </c>
      <c r="C30" s="3" t="s">
        <v>101</v>
      </c>
      <c r="D30" s="15"/>
      <c r="E30" s="68">
        <f>E26+E24+E22+E28</f>
        <v>462.00564311000005</v>
      </c>
      <c r="F30" s="8">
        <f>E30/O30</f>
        <v>0.68110060831360941</v>
      </c>
      <c r="G30" s="68">
        <f>G26+G24+G22+G28</f>
        <v>419.47046809000005</v>
      </c>
      <c r="H30" s="8">
        <f>G30/P30</f>
        <v>0.65976492283528987</v>
      </c>
      <c r="I30" s="27"/>
      <c r="J30" s="68">
        <f>J26+J24+J22+J28</f>
        <v>216.31652761000001</v>
      </c>
      <c r="K30" s="8">
        <f>J30/O30</f>
        <v>0.31889939168639059</v>
      </c>
      <c r="L30" s="68">
        <f>L26+L24+L22+L28</f>
        <v>216.31730051</v>
      </c>
      <c r="M30" s="8">
        <f>L30/P30</f>
        <v>0.34023507716471035</v>
      </c>
      <c r="N30" s="27"/>
      <c r="O30" s="68">
        <f>O26+O24+O22+O28</f>
        <v>678.32217072000003</v>
      </c>
      <c r="P30" s="68">
        <f>P26+P24+P22+P28</f>
        <v>635.78776859999994</v>
      </c>
      <c r="Q30" s="8">
        <f>P30/O30</f>
        <v>0.93729468981553077</v>
      </c>
    </row>
    <row r="31" spans="1:17">
      <c r="A31" s="4"/>
      <c r="B31" s="4"/>
      <c r="C31" s="4" t="s">
        <v>103</v>
      </c>
      <c r="D31" s="15"/>
      <c r="E31" s="13">
        <f>E30/E19-1</f>
        <v>-5.8116566156474203E-4</v>
      </c>
      <c r="F31" s="13"/>
      <c r="G31" s="13">
        <f>G30/G19-1</f>
        <v>5.3502579088509528E-2</v>
      </c>
      <c r="H31" s="13"/>
      <c r="I31" s="16"/>
      <c r="J31" s="13">
        <f>J30/J19-1</f>
        <v>3.1772133655452395E-2</v>
      </c>
      <c r="K31" s="13"/>
      <c r="L31" s="13">
        <f>L30/L19-1</f>
        <v>3.1775820182279091E-2</v>
      </c>
      <c r="M31" s="13"/>
      <c r="N31" s="16"/>
      <c r="O31" s="13">
        <f>O30/O19-1</f>
        <v>9.5137034153778277E-3</v>
      </c>
      <c r="P31" s="13">
        <f>P30/P19-1</f>
        <v>4.6008403594640201E-2</v>
      </c>
      <c r="Q31" s="13"/>
    </row>
    <row r="32" spans="1:17">
      <c r="A32" s="34" t="str">
        <f>說明!B18</f>
        <v>1.</v>
      </c>
      <c r="B32" s="34" t="str">
        <f>說明!C18</f>
        <v>資料來源：總額各案件核定醫療費用分攤明細(PHFB_DECIDE_DIST)</v>
      </c>
      <c r="C32" s="9"/>
      <c r="D32" s="15"/>
      <c r="E32" s="16"/>
      <c r="F32" s="16"/>
      <c r="G32" s="16"/>
      <c r="H32" s="16"/>
      <c r="I32" s="16"/>
      <c r="J32" s="16"/>
      <c r="K32" s="16"/>
      <c r="L32" s="16"/>
      <c r="M32" s="16"/>
      <c r="N32" s="16"/>
      <c r="O32" s="16"/>
      <c r="P32" s="16"/>
      <c r="Q32" s="16"/>
    </row>
    <row r="33" spans="1:17">
      <c r="A33" s="34" t="str">
        <f>說明!B19</f>
        <v>2.</v>
      </c>
      <c r="B33" s="34" t="str">
        <f>說明!C19</f>
        <v>資料處理：</v>
      </c>
      <c r="C33" s="9"/>
      <c r="D33" s="15"/>
      <c r="E33" s="16"/>
      <c r="F33" s="16"/>
      <c r="G33" s="16"/>
      <c r="H33" s="16"/>
      <c r="I33" s="16"/>
      <c r="J33" s="16"/>
      <c r="K33" s="16"/>
      <c r="L33" s="16"/>
      <c r="M33" s="16"/>
      <c r="N33" s="16"/>
      <c r="O33" s="16"/>
      <c r="P33" s="16"/>
      <c r="Q33" s="16"/>
    </row>
    <row r="34" spans="1:17">
      <c r="A34" s="34"/>
      <c r="B34" s="34" t="str">
        <f>說明!C20</f>
        <v>※本表僅含當季核定之送核、補報資料</v>
      </c>
      <c r="C34" s="9"/>
      <c r="D34" s="15"/>
      <c r="E34" s="16"/>
      <c r="F34" s="16"/>
      <c r="G34" s="16"/>
      <c r="H34" s="16"/>
      <c r="I34" s="16"/>
      <c r="J34" s="16"/>
      <c r="K34" s="16"/>
      <c r="L34" s="16"/>
      <c r="M34" s="16"/>
      <c r="N34" s="16"/>
      <c r="O34" s="16"/>
      <c r="P34" s="16"/>
      <c r="Q34" s="16"/>
    </row>
    <row r="35" spans="1:17">
      <c r="A35" s="34"/>
      <c r="B35" s="34" t="str">
        <f>說明!C21</f>
        <v>※本表不含申複、爭議審議等之核定醫療點數及費用</v>
      </c>
      <c r="C35" s="9"/>
      <c r="D35" s="15"/>
      <c r="E35" s="16"/>
      <c r="F35" s="16"/>
      <c r="G35" s="16"/>
      <c r="H35" s="16"/>
      <c r="I35" s="16"/>
      <c r="J35" s="16"/>
      <c r="K35" s="16"/>
      <c r="L35" s="16"/>
      <c r="M35" s="16"/>
      <c r="N35" s="16"/>
      <c r="O35" s="16"/>
      <c r="P35" s="16"/>
      <c r="Q35" s="16"/>
    </row>
    <row r="36" spans="1:17">
      <c r="A36" s="34"/>
      <c r="B36" s="34" t="str">
        <f>說明!C22</f>
        <v>※本表不含代辦、總額外及追扣、補付付款之項目</v>
      </c>
      <c r="E36" s="7"/>
      <c r="F36" s="8"/>
      <c r="G36" s="7"/>
      <c r="H36" s="8"/>
      <c r="J36" s="7"/>
      <c r="K36" s="8"/>
      <c r="L36" s="7"/>
      <c r="M36" s="8"/>
      <c r="O36" s="7"/>
      <c r="P36" s="7"/>
      <c r="Q36" s="8"/>
    </row>
    <row r="37" spans="1:17">
      <c r="A37" s="34"/>
      <c r="B37" s="34" t="str">
        <f>說明!C23</f>
        <v>※本表所謂浮動點值部分係指各總額別中一般部門預算之浮動點值部份</v>
      </c>
      <c r="E37" s="7"/>
      <c r="F37" s="8"/>
      <c r="G37" s="7"/>
      <c r="H37" s="8"/>
      <c r="J37" s="7"/>
      <c r="K37" s="8"/>
      <c r="L37" s="7"/>
      <c r="M37" s="8"/>
      <c r="O37" s="7"/>
      <c r="P37" s="7"/>
      <c r="Q37" s="8"/>
    </row>
    <row r="38" spans="1:17">
      <c r="A38" s="34"/>
      <c r="B38" s="34" t="str">
        <f>說明!C24</f>
        <v>※本表所謂固定點值部分係指各總額別中一般部門預算之非浮動點值及專款部份</v>
      </c>
      <c r="E38" s="7"/>
      <c r="F38" s="8"/>
      <c r="G38" s="7"/>
      <c r="H38" s="8"/>
      <c r="J38" s="7"/>
      <c r="K38" s="8"/>
      <c r="L38" s="7"/>
      <c r="M38" s="8"/>
      <c r="O38" s="7"/>
      <c r="P38" s="7"/>
      <c r="Q38" s="8"/>
    </row>
    <row r="39" spans="1:17">
      <c r="A39" s="34"/>
      <c r="B39" s="34" t="str">
        <f>說明!C25</f>
        <v>※層級別中不含處方釋出之醫療點數及費用</v>
      </c>
    </row>
    <row r="40" spans="1:17">
      <c r="A40" s="34"/>
      <c r="B40" s="34"/>
    </row>
    <row r="41" spans="1:17">
      <c r="A41" s="34"/>
      <c r="B41" s="34"/>
    </row>
    <row r="42" spans="1:17">
      <c r="A42" s="34"/>
      <c r="B42" s="34"/>
    </row>
  </sheetData>
  <mergeCells count="7">
    <mergeCell ref="A21:C21"/>
    <mergeCell ref="A10:C10"/>
    <mergeCell ref="A1:Q1"/>
    <mergeCell ref="A4:C4"/>
    <mergeCell ref="E2:H2"/>
    <mergeCell ref="J2:M2"/>
    <mergeCell ref="O2:Q2"/>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90" orientation="landscape" r:id="rId1"/>
  <headerFooter alignWithMargins="0"/>
</worksheet>
</file>

<file path=xl/worksheets/sheet23.xml><?xml version="1.0" encoding="utf-8"?>
<worksheet xmlns="http://schemas.openxmlformats.org/spreadsheetml/2006/main" xmlns:r="http://schemas.openxmlformats.org/officeDocument/2006/relationships">
  <sheetPr codeName="Sheet20">
    <pageSetUpPr fitToPage="1"/>
  </sheetPr>
  <dimension ref="A1:R42"/>
  <sheetViews>
    <sheetView showGridLines="0" zoomScale="75" workbookViewId="0">
      <pane ySplit="1" topLeftCell="A2" activePane="bottomLeft" state="frozen"/>
      <selection sqref="A1:D1"/>
      <selection pane="bottomLeft" activeCell="R2" sqref="R2"/>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875" style="3" bestFit="1" customWidth="1"/>
    <col min="6" max="6" width="11.125" style="3" bestFit="1" customWidth="1"/>
    <col min="7" max="7" width="11.5" style="3" bestFit="1" customWidth="1"/>
    <col min="8" max="8" width="11.125" style="3" bestFit="1" customWidth="1"/>
    <col min="9" max="9" width="1.875" style="3" customWidth="1"/>
    <col min="10" max="10" width="12.375" style="3" bestFit="1" customWidth="1"/>
    <col min="11" max="11" width="11.125" style="3" bestFit="1" customWidth="1"/>
    <col min="12" max="12" width="11.5" style="3" bestFit="1" customWidth="1"/>
    <col min="13" max="13" width="11.125" style="3" bestFit="1" customWidth="1"/>
    <col min="14" max="14" width="2.25" style="3" customWidth="1"/>
    <col min="15" max="16" width="12.875" style="3" bestFit="1" customWidth="1"/>
    <col min="17" max="17" width="11.125" style="3" bestFit="1" customWidth="1"/>
    <col min="18" max="16384" width="8.875" style="2"/>
  </cols>
  <sheetData>
    <row r="1" spans="1:18" ht="40.9" customHeight="1">
      <c r="A1" s="95" t="s">
        <v>214</v>
      </c>
      <c r="B1" s="95"/>
      <c r="C1" s="95"/>
      <c r="D1" s="95"/>
      <c r="E1" s="95"/>
      <c r="F1" s="95"/>
      <c r="G1" s="95"/>
      <c r="H1" s="95"/>
      <c r="I1" s="95"/>
      <c r="J1" s="95"/>
      <c r="K1" s="95"/>
      <c r="L1" s="95"/>
      <c r="M1" s="95"/>
      <c r="N1" s="95"/>
      <c r="O1" s="95"/>
      <c r="P1" s="95"/>
      <c r="Q1" s="95"/>
    </row>
    <row r="2" spans="1:18" s="3" customFormat="1">
      <c r="E2" s="90" t="s">
        <v>72</v>
      </c>
      <c r="F2" s="90"/>
      <c r="G2" s="90"/>
      <c r="H2" s="90"/>
      <c r="J2" s="90" t="s">
        <v>73</v>
      </c>
      <c r="K2" s="90"/>
      <c r="L2" s="90"/>
      <c r="M2" s="90"/>
      <c r="O2" s="90" t="s">
        <v>74</v>
      </c>
      <c r="P2" s="90"/>
      <c r="Q2" s="90"/>
      <c r="R2" s="84"/>
    </row>
    <row r="3" spans="1:18" s="3" customFormat="1" ht="33">
      <c r="A3" s="4" t="s">
        <v>75</v>
      </c>
      <c r="B3" s="4" t="s">
        <v>76</v>
      </c>
      <c r="C3" s="4" t="s">
        <v>77</v>
      </c>
      <c r="E3" s="5" t="s">
        <v>218</v>
      </c>
      <c r="F3" s="6" t="s">
        <v>78</v>
      </c>
      <c r="G3" s="35" t="s">
        <v>219</v>
      </c>
      <c r="H3" s="6" t="s">
        <v>78</v>
      </c>
      <c r="J3" s="5" t="s">
        <v>218</v>
      </c>
      <c r="K3" s="6" t="s">
        <v>78</v>
      </c>
      <c r="L3" s="35" t="s">
        <v>219</v>
      </c>
      <c r="M3" s="6" t="s">
        <v>78</v>
      </c>
      <c r="O3" s="5" t="s">
        <v>220</v>
      </c>
      <c r="P3" s="35" t="s">
        <v>221</v>
      </c>
      <c r="Q3" s="35" t="s">
        <v>216</v>
      </c>
    </row>
    <row r="4" spans="1:18">
      <c r="A4" s="88">
        <f>lev_wk!B26</f>
        <v>2004</v>
      </c>
      <c r="B4" s="88"/>
      <c r="C4" s="88"/>
      <c r="D4" s="9"/>
      <c r="E4" s="10"/>
      <c r="F4" s="9"/>
      <c r="G4" s="9"/>
      <c r="H4" s="9"/>
      <c r="I4" s="9"/>
      <c r="J4" s="10"/>
      <c r="K4" s="9"/>
      <c r="L4" s="9"/>
      <c r="M4" s="9"/>
      <c r="N4" s="9"/>
      <c r="O4" s="10"/>
      <c r="P4" s="9"/>
      <c r="Q4" s="9"/>
    </row>
    <row r="5" spans="1:18">
      <c r="A5" s="2"/>
      <c r="B5" s="3" t="str">
        <f>lev_wk!C26</f>
        <v>Q1</v>
      </c>
      <c r="C5" s="3" t="s">
        <v>79</v>
      </c>
      <c r="D5" s="15"/>
      <c r="E5" s="65">
        <f>lev_wk!D26</f>
        <v>247.01056163000001</v>
      </c>
      <c r="F5" s="8">
        <f>E5/O5</f>
        <v>0.81379703220351129</v>
      </c>
      <c r="G5" s="65">
        <f>lev_wk!E26</f>
        <v>225.16766125000001</v>
      </c>
      <c r="H5" s="8">
        <f>G5/P5</f>
        <v>0.79921194928999639</v>
      </c>
      <c r="I5" s="16"/>
      <c r="J5" s="65">
        <f>lev_wk!F26</f>
        <v>56.517900449999999</v>
      </c>
      <c r="K5" s="8">
        <f>J5/O5</f>
        <v>0.18620296779648876</v>
      </c>
      <c r="L5" s="65">
        <f>lev_wk!G26</f>
        <v>56.569444220000001</v>
      </c>
      <c r="M5" s="8">
        <f>L5/P5</f>
        <v>0.20078805071000361</v>
      </c>
      <c r="N5" s="16"/>
      <c r="O5" s="65">
        <f>E5+J5</f>
        <v>303.52846208</v>
      </c>
      <c r="P5" s="65">
        <f>G5+L5</f>
        <v>281.73710547000002</v>
      </c>
      <c r="Q5" s="8">
        <f>P5/O5</f>
        <v>0.92820654623072385</v>
      </c>
    </row>
    <row r="6" spans="1:18">
      <c r="B6" s="3" t="str">
        <f>lev_wk!C27</f>
        <v>Q2</v>
      </c>
      <c r="C6" s="3" t="s">
        <v>79</v>
      </c>
      <c r="D6" s="15"/>
      <c r="E6" s="65">
        <f>lev_wk!D27</f>
        <v>256.06244657000002</v>
      </c>
      <c r="F6" s="8">
        <f>E6/O6</f>
        <v>0.81761412489907237</v>
      </c>
      <c r="G6" s="65">
        <f>lev_wk!E27</f>
        <v>232.95586553999999</v>
      </c>
      <c r="H6" s="8">
        <f>G6/P6</f>
        <v>0.80291153417109296</v>
      </c>
      <c r="I6" s="27"/>
      <c r="J6" s="65">
        <f>lev_wk!F27</f>
        <v>57.12006676</v>
      </c>
      <c r="K6" s="8">
        <f>J6/O6</f>
        <v>0.18238587510092769</v>
      </c>
      <c r="L6" s="65">
        <f>lev_wk!G27</f>
        <v>57.183029750000003</v>
      </c>
      <c r="M6" s="8">
        <f>L6/P6</f>
        <v>0.19708846582890704</v>
      </c>
      <c r="N6" s="27"/>
      <c r="O6" s="65">
        <f>E6+J6</f>
        <v>313.18251333000001</v>
      </c>
      <c r="P6" s="65">
        <f>G6+L6</f>
        <v>290.13889528999999</v>
      </c>
      <c r="Q6" s="8">
        <f>P6/O6</f>
        <v>0.92642112168082968</v>
      </c>
    </row>
    <row r="7" spans="1:18">
      <c r="B7" s="3" t="str">
        <f>lev_wk!C28</f>
        <v>Q3</v>
      </c>
      <c r="C7" s="3" t="s">
        <v>79</v>
      </c>
      <c r="D7" s="15"/>
      <c r="E7" s="65">
        <f>lev_wk!D28</f>
        <v>262.97286819999999</v>
      </c>
      <c r="F7" s="8">
        <f>E7/O7</f>
        <v>0.81872183180075164</v>
      </c>
      <c r="G7" s="65">
        <f>lev_wk!E28</f>
        <v>229.97489962</v>
      </c>
      <c r="H7" s="8">
        <f>G7/P7</f>
        <v>0.79755814821416671</v>
      </c>
      <c r="I7" s="27"/>
      <c r="J7" s="65">
        <f>lev_wk!F28</f>
        <v>58.226418279999997</v>
      </c>
      <c r="K7" s="8">
        <f>J7/O7</f>
        <v>0.18127816819924836</v>
      </c>
      <c r="L7" s="65">
        <f>lev_wk!G28</f>
        <v>58.373856060000001</v>
      </c>
      <c r="M7" s="8">
        <f>L7/P7</f>
        <v>0.20244185178583324</v>
      </c>
      <c r="N7" s="27"/>
      <c r="O7" s="65">
        <f>E7+J7</f>
        <v>321.19928648000001</v>
      </c>
      <c r="P7" s="65">
        <f>G7+L7</f>
        <v>288.34875568000001</v>
      </c>
      <c r="Q7" s="8">
        <f>P7/O7</f>
        <v>0.89772539297952181</v>
      </c>
    </row>
    <row r="8" spans="1:18">
      <c r="B8" s="4" t="str">
        <f>lev_wk!C29</f>
        <v>Q4</v>
      </c>
      <c r="C8" s="4" t="s">
        <v>79</v>
      </c>
      <c r="D8" s="15"/>
      <c r="E8" s="66">
        <f>lev_wk!D29</f>
        <v>280.14531169999998</v>
      </c>
      <c r="F8" s="13">
        <f>E8/O8</f>
        <v>0.81352656415175773</v>
      </c>
      <c r="G8" s="66">
        <f>lev_wk!E29</f>
        <v>234.89821957999999</v>
      </c>
      <c r="H8" s="13">
        <f>G8/P8</f>
        <v>0.78486259072352837</v>
      </c>
      <c r="I8" s="27"/>
      <c r="J8" s="66">
        <f>lev_wk!F29</f>
        <v>64.213832850000003</v>
      </c>
      <c r="K8" s="13">
        <f>J8/O8</f>
        <v>0.18647343584824225</v>
      </c>
      <c r="L8" s="66">
        <f>lev_wk!G29</f>
        <v>64.387569240000005</v>
      </c>
      <c r="M8" s="13">
        <f>L8/P8</f>
        <v>0.21513740927647165</v>
      </c>
      <c r="N8" s="27"/>
      <c r="O8" s="66">
        <f>E8+J8</f>
        <v>344.35914455</v>
      </c>
      <c r="P8" s="66">
        <f>G8+L8</f>
        <v>299.28578881999999</v>
      </c>
      <c r="Q8" s="13">
        <f>P8/O8</f>
        <v>0.86910945609154433</v>
      </c>
    </row>
    <row r="9" spans="1:18">
      <c r="A9" s="4"/>
      <c r="B9" s="4" t="s">
        <v>80</v>
      </c>
      <c r="C9" s="4" t="s">
        <v>79</v>
      </c>
      <c r="D9" s="15"/>
      <c r="E9" s="66">
        <f>SUM(E5:E8)</f>
        <v>1046.1911881000001</v>
      </c>
      <c r="F9" s="13">
        <f>E9/O9</f>
        <v>0.81589031356879194</v>
      </c>
      <c r="G9" s="66">
        <f>SUM(G5:G8)</f>
        <v>922.99664598999993</v>
      </c>
      <c r="H9" s="13">
        <f>G9/P9</f>
        <v>0.7960226405556613</v>
      </c>
      <c r="I9" s="27"/>
      <c r="J9" s="66">
        <f>SUM(J5:J8)</f>
        <v>236.07821833999998</v>
      </c>
      <c r="K9" s="13">
        <f>J9/O9</f>
        <v>0.18410968643120831</v>
      </c>
      <c r="L9" s="66">
        <f>SUM(L5:L8)</f>
        <v>236.51389927000002</v>
      </c>
      <c r="M9" s="13">
        <f>L9/P9</f>
        <v>0.20397735944433856</v>
      </c>
      <c r="N9" s="27"/>
      <c r="O9" s="66">
        <f>SUM(O5:O8)</f>
        <v>1282.2694064399998</v>
      </c>
      <c r="P9" s="66">
        <f>SUM(P5:P8)</f>
        <v>1159.5105452600001</v>
      </c>
      <c r="Q9" s="13">
        <f>P9/O9</f>
        <v>0.90426437645360458</v>
      </c>
    </row>
    <row r="10" spans="1:18">
      <c r="A10" s="88">
        <f>lev_wk!B30</f>
        <v>2005</v>
      </c>
      <c r="B10" s="88"/>
      <c r="C10" s="88"/>
      <c r="D10" s="15"/>
      <c r="E10" s="7"/>
      <c r="F10" s="8"/>
      <c r="G10" s="7"/>
      <c r="H10" s="8"/>
      <c r="I10" s="27"/>
      <c r="J10" s="7"/>
      <c r="K10" s="8"/>
      <c r="L10" s="7"/>
      <c r="M10" s="8"/>
      <c r="N10" s="27"/>
      <c r="O10" s="7"/>
      <c r="P10" s="7"/>
      <c r="Q10" s="8"/>
    </row>
    <row r="11" spans="1:18">
      <c r="A11" s="2"/>
      <c r="B11" s="3" t="str">
        <f>lev_wk!C30</f>
        <v>Q1</v>
      </c>
      <c r="C11" s="3" t="s">
        <v>79</v>
      </c>
      <c r="D11" s="15"/>
      <c r="E11" s="65">
        <f>lev_wk!D30</f>
        <v>266.23094485000001</v>
      </c>
      <c r="F11" s="8">
        <f>E11/O11</f>
        <v>0.81124158563334059</v>
      </c>
      <c r="G11" s="65">
        <f>lev_wk!E30</f>
        <v>223.32595509999999</v>
      </c>
      <c r="H11" s="8">
        <f>G11/P11</f>
        <v>0.78248286894456531</v>
      </c>
      <c r="I11" s="27"/>
      <c r="J11" s="65">
        <f>lev_wk!F30</f>
        <v>61.946196909999998</v>
      </c>
      <c r="K11" s="8">
        <f>J11/O11</f>
        <v>0.18875841436665936</v>
      </c>
      <c r="L11" s="65">
        <f>lev_wk!G30</f>
        <v>62.080874829999999</v>
      </c>
      <c r="M11" s="8">
        <f>L11/P11</f>
        <v>0.21751713105543483</v>
      </c>
      <c r="N11" s="27"/>
      <c r="O11" s="65">
        <f>E11+J11</f>
        <v>328.17714176000004</v>
      </c>
      <c r="P11" s="65">
        <f>G11+L11</f>
        <v>285.40682992999996</v>
      </c>
      <c r="Q11" s="8">
        <f>P11/O11</f>
        <v>0.86967309301121731</v>
      </c>
    </row>
    <row r="12" spans="1:18">
      <c r="C12" s="3" t="s">
        <v>81</v>
      </c>
      <c r="D12" s="15"/>
      <c r="E12" s="8">
        <f>E11/E5-1</f>
        <v>7.7811989467844844E-2</v>
      </c>
      <c r="F12" s="8"/>
      <c r="G12" s="8">
        <f>G11/G5-1</f>
        <v>-8.1792657958782433E-3</v>
      </c>
      <c r="H12" s="8"/>
      <c r="I12" s="16"/>
      <c r="J12" s="8">
        <f>J11/J5-1</f>
        <v>9.6045614164352644E-2</v>
      </c>
      <c r="K12" s="8"/>
      <c r="L12" s="8">
        <f>L11/L5-1</f>
        <v>9.7427695923012925E-2</v>
      </c>
      <c r="M12" s="8"/>
      <c r="N12" s="16"/>
      <c r="O12" s="8">
        <f>O11/O5-1</f>
        <v>8.1207144500022199E-2</v>
      </c>
      <c r="P12" s="8">
        <f>P11/P5-1</f>
        <v>1.3025350189063811E-2</v>
      </c>
      <c r="Q12" s="8"/>
    </row>
    <row r="13" spans="1:18">
      <c r="B13" s="3" t="str">
        <f>lev_wk!C31</f>
        <v>Q2</v>
      </c>
      <c r="C13" s="3" t="s">
        <v>79</v>
      </c>
      <c r="D13" s="15"/>
      <c r="E13" s="65">
        <f>lev_wk!D31</f>
        <v>274.12733483</v>
      </c>
      <c r="F13" s="8">
        <f>E13/O13</f>
        <v>0.82077357292313791</v>
      </c>
      <c r="G13" s="65">
        <f>lev_wk!E31</f>
        <v>235.4017417</v>
      </c>
      <c r="H13" s="8">
        <f>G13/P13</f>
        <v>0.79686082637082234</v>
      </c>
      <c r="I13" s="27"/>
      <c r="J13" s="65">
        <f>lev_wk!F31</f>
        <v>59.859216240000002</v>
      </c>
      <c r="K13" s="8">
        <f>J13/O13</f>
        <v>0.17922642707686198</v>
      </c>
      <c r="L13" s="65">
        <f>lev_wk!G31</f>
        <v>60.009619870000002</v>
      </c>
      <c r="M13" s="8">
        <f>L13/P13</f>
        <v>0.20313917362917763</v>
      </c>
      <c r="N13" s="27"/>
      <c r="O13" s="65">
        <f>E13+J13</f>
        <v>333.98655107000002</v>
      </c>
      <c r="P13" s="65">
        <f>G13+L13</f>
        <v>295.41136157</v>
      </c>
      <c r="Q13" s="8">
        <f>P13/O13</f>
        <v>0.88450076993694549</v>
      </c>
    </row>
    <row r="14" spans="1:18">
      <c r="D14" s="15"/>
      <c r="E14" s="8">
        <f>E13/E6-1</f>
        <v>7.054876067139948E-2</v>
      </c>
      <c r="F14" s="8"/>
      <c r="G14" s="8">
        <f>G13/G6-1</f>
        <v>1.0499311336636064E-2</v>
      </c>
      <c r="H14" s="8"/>
      <c r="I14" s="16"/>
      <c r="J14" s="8">
        <f>J13/J6-1</f>
        <v>4.7954241571688261E-2</v>
      </c>
      <c r="K14" s="8"/>
      <c r="L14" s="8">
        <f>L13/L6-1</f>
        <v>4.9430576385295577E-2</v>
      </c>
      <c r="M14" s="8"/>
      <c r="N14" s="16"/>
      <c r="O14" s="8">
        <f>O13/O6-1</f>
        <v>6.6427839532914312E-2</v>
      </c>
      <c r="P14" s="8">
        <f>P13/P6-1</f>
        <v>1.81722146378549E-2</v>
      </c>
      <c r="Q14" s="8"/>
    </row>
    <row r="15" spans="1:18">
      <c r="B15" s="3" t="str">
        <f>lev_wk!C32</f>
        <v>Q3</v>
      </c>
      <c r="C15" s="3" t="s">
        <v>79</v>
      </c>
      <c r="D15" s="15"/>
      <c r="E15" s="65">
        <f>lev_wk!D32</f>
        <v>267.11167888</v>
      </c>
      <c r="F15" s="8">
        <f>E15/O15</f>
        <v>0.82894958333583879</v>
      </c>
      <c r="G15" s="65">
        <f>lev_wk!E32</f>
        <v>240.2440919</v>
      </c>
      <c r="H15" s="8">
        <f>G15/P15</f>
        <v>0.81286697106217343</v>
      </c>
      <c r="I15" s="27"/>
      <c r="J15" s="65">
        <f>lev_wk!F32</f>
        <v>55.117421960000001</v>
      </c>
      <c r="K15" s="8">
        <f>J15/O15</f>
        <v>0.17105041666416115</v>
      </c>
      <c r="L15" s="65">
        <f>lev_wk!G32</f>
        <v>55.307456449999997</v>
      </c>
      <c r="M15" s="8">
        <f>L15/P15</f>
        <v>0.18713302893782655</v>
      </c>
      <c r="N15" s="27"/>
      <c r="O15" s="65">
        <f>E15+J15</f>
        <v>322.22910084</v>
      </c>
      <c r="P15" s="65">
        <f>G15+L15</f>
        <v>295.55154835000002</v>
      </c>
      <c r="Q15" s="8">
        <f>P15/O15</f>
        <v>0.91720936308838696</v>
      </c>
    </row>
    <row r="16" spans="1:18" s="15" customFormat="1">
      <c r="A16" s="9"/>
      <c r="B16" s="9"/>
      <c r="C16" s="9" t="s">
        <v>81</v>
      </c>
      <c r="E16" s="16">
        <f>E15/E7-1</f>
        <v>1.5738546369172601E-2</v>
      </c>
      <c r="F16" s="8"/>
      <c r="G16" s="16">
        <f>G15/G7-1</f>
        <v>4.4653535220445129E-2</v>
      </c>
      <c r="H16" s="8"/>
      <c r="I16" s="16"/>
      <c r="J16" s="16">
        <f>J15/J7-1</f>
        <v>-5.3394943598443767E-2</v>
      </c>
      <c r="K16" s="8"/>
      <c r="L16" s="16">
        <f>L15/L7-1</f>
        <v>-5.2530358913555175E-2</v>
      </c>
      <c r="M16" s="8"/>
      <c r="N16" s="16"/>
      <c r="O16" s="16">
        <f>O15/O7-1</f>
        <v>3.2061539466219369E-3</v>
      </c>
      <c r="P16" s="16">
        <f>P15/P7-1</f>
        <v>2.4979447728199711E-2</v>
      </c>
      <c r="Q16" s="8"/>
    </row>
    <row r="17" spans="1:17" ht="16.149999999999999" customHeight="1">
      <c r="B17" s="3" t="str">
        <f>lev_wk!C33</f>
        <v>Q4</v>
      </c>
      <c r="C17" s="3" t="s">
        <v>79</v>
      </c>
      <c r="D17" s="15"/>
      <c r="E17" s="65">
        <f>lev_wk!D33</f>
        <v>276.00037664000001</v>
      </c>
      <c r="F17" s="8">
        <f>E17/O17</f>
        <v>0.82501552337599726</v>
      </c>
      <c r="G17" s="65">
        <f>lev_wk!E33</f>
        <v>249.80524502</v>
      </c>
      <c r="H17" s="8">
        <f>G17/P17</f>
        <v>0.80962247534589948</v>
      </c>
      <c r="I17" s="27"/>
      <c r="J17" s="65">
        <f>lev_wk!F33</f>
        <v>58.539239670000001</v>
      </c>
      <c r="K17" s="8">
        <f>J17/O17</f>
        <v>0.1749844766240026</v>
      </c>
      <c r="L17" s="65">
        <f>lev_wk!G33</f>
        <v>58.740098799999998</v>
      </c>
      <c r="M17" s="8">
        <f>L17/P17</f>
        <v>0.19037752465410063</v>
      </c>
      <c r="N17" s="27"/>
      <c r="O17" s="65">
        <f>E17+J17</f>
        <v>334.53961631000004</v>
      </c>
      <c r="P17" s="65">
        <f>G17+L17</f>
        <v>308.54534381999997</v>
      </c>
      <c r="Q17" s="8">
        <f>P17/O17</f>
        <v>0.92229837297980111</v>
      </c>
    </row>
    <row r="18" spans="1:17" ht="16.149999999999999" customHeight="1">
      <c r="B18" s="4"/>
      <c r="C18" s="4" t="s">
        <v>81</v>
      </c>
      <c r="D18" s="15"/>
      <c r="E18" s="13">
        <f>E17/E8-1</f>
        <v>-1.4795660990531423E-2</v>
      </c>
      <c r="F18" s="13"/>
      <c r="G18" s="13">
        <f>G17/G8-1</f>
        <v>6.3461636561800594E-2</v>
      </c>
      <c r="H18" s="13"/>
      <c r="I18" s="27"/>
      <c r="J18" s="13">
        <f>J17/J8-1</f>
        <v>-8.8370261174964271E-2</v>
      </c>
      <c r="K18" s="13"/>
      <c r="L18" s="13">
        <f>L17/L8-1</f>
        <v>-8.7710570637469898E-2</v>
      </c>
      <c r="M18" s="13"/>
      <c r="N18" s="27"/>
      <c r="O18" s="13">
        <f>O17/O8-1</f>
        <v>-2.8515369478083308E-2</v>
      </c>
      <c r="P18" s="13">
        <f>P17/P8-1</f>
        <v>3.09388395503436E-2</v>
      </c>
      <c r="Q18" s="13"/>
    </row>
    <row r="19" spans="1:17">
      <c r="B19" s="3" t="s">
        <v>80</v>
      </c>
      <c r="C19" s="3" t="s">
        <v>79</v>
      </c>
      <c r="D19" s="15"/>
      <c r="E19" s="65">
        <f>E15+E13+E11+E17</f>
        <v>1083.4703352000001</v>
      </c>
      <c r="F19" s="8">
        <f>E19/O19</f>
        <v>0.82147525301651325</v>
      </c>
      <c r="G19" s="65">
        <f>G15+G13+G11+G17</f>
        <v>948.77703371999996</v>
      </c>
      <c r="H19" s="8">
        <f>G19/P19</f>
        <v>0.80071310323891132</v>
      </c>
      <c r="I19" s="27"/>
      <c r="J19" s="65">
        <f>J15+J13+J11+J17</f>
        <v>235.46207477999999</v>
      </c>
      <c r="K19" s="8">
        <f>J19/O19</f>
        <v>0.1785247469834868</v>
      </c>
      <c r="L19" s="65">
        <f>L15+L13+L11+L17</f>
        <v>236.13804994999998</v>
      </c>
      <c r="M19" s="8">
        <f>L19/P19</f>
        <v>0.19928689676108863</v>
      </c>
      <c r="N19" s="27"/>
      <c r="O19" s="65">
        <f>O15+O13+O11+O17</f>
        <v>1318.9324099800001</v>
      </c>
      <c r="P19" s="65">
        <f>P15+P13+P11+P17</f>
        <v>1184.9150836700001</v>
      </c>
      <c r="Q19" s="8">
        <f>P19/O19</f>
        <v>0.89838954195383502</v>
      </c>
    </row>
    <row r="20" spans="1:17">
      <c r="A20" s="4"/>
      <c r="B20" s="4"/>
      <c r="C20" s="4" t="s">
        <v>81</v>
      </c>
      <c r="D20" s="15"/>
      <c r="E20" s="13">
        <f>E19/E9-1</f>
        <v>3.5633206935821393E-2</v>
      </c>
      <c r="F20" s="13"/>
      <c r="G20" s="13">
        <f>G19/G9-1</f>
        <v>2.7931182460959159E-2</v>
      </c>
      <c r="H20" s="13"/>
      <c r="I20" s="16"/>
      <c r="J20" s="13">
        <f>J19/J9-1</f>
        <v>-2.6099127837054814E-3</v>
      </c>
      <c r="K20" s="13"/>
      <c r="L20" s="13">
        <f>L19/L9-1</f>
        <v>-1.5891214899425021E-3</v>
      </c>
      <c r="M20" s="13"/>
      <c r="N20" s="16"/>
      <c r="O20" s="13">
        <f>O19/O9-1</f>
        <v>2.8592278156108319E-2</v>
      </c>
      <c r="P20" s="13">
        <f>P19/P9-1</f>
        <v>2.1909708811060025E-2</v>
      </c>
      <c r="Q20" s="13"/>
    </row>
    <row r="21" spans="1:17">
      <c r="A21" s="92">
        <f>lev_wk!B45</f>
        <v>2006</v>
      </c>
      <c r="B21" s="92"/>
      <c r="C21" s="92"/>
      <c r="D21" s="15"/>
      <c r="E21" s="27"/>
      <c r="F21" s="16"/>
      <c r="G21" s="27"/>
      <c r="H21" s="16"/>
      <c r="I21" s="27"/>
      <c r="J21" s="27"/>
      <c r="K21" s="16"/>
      <c r="L21" s="27"/>
      <c r="M21" s="16"/>
      <c r="N21" s="27"/>
      <c r="O21" s="27"/>
      <c r="P21" s="27"/>
      <c r="Q21" s="16"/>
    </row>
    <row r="22" spans="1:17">
      <c r="A22" s="15"/>
      <c r="B22" s="9" t="str">
        <f>lev_wk!C45</f>
        <v>Q1</v>
      </c>
      <c r="C22" s="9" t="s">
        <v>79</v>
      </c>
      <c r="D22" s="15"/>
      <c r="E22" s="68">
        <f>lev_wk!D45</f>
        <v>262.59233724000001</v>
      </c>
      <c r="F22" s="16">
        <f>E22/O22</f>
        <v>0.82602631967750006</v>
      </c>
      <c r="G22" s="68">
        <f>lev_wk!E45</f>
        <v>239.32600421999999</v>
      </c>
      <c r="H22" s="16">
        <f>G22/P22</f>
        <v>0.81218124014049309</v>
      </c>
      <c r="I22" s="27"/>
      <c r="J22" s="68">
        <f>lev_wk!F45</f>
        <v>55.30593184</v>
      </c>
      <c r="K22" s="16">
        <f>J22/O22</f>
        <v>0.17397368032249999</v>
      </c>
      <c r="L22" s="68">
        <f>lev_wk!G45</f>
        <v>55.34468305</v>
      </c>
      <c r="M22" s="16">
        <f>L22/P22</f>
        <v>0.18781875985950697</v>
      </c>
      <c r="N22" s="27"/>
      <c r="O22" s="68">
        <f>E22+J22</f>
        <v>317.89826907999998</v>
      </c>
      <c r="P22" s="68">
        <f>G22+L22</f>
        <v>294.67068726999997</v>
      </c>
      <c r="Q22" s="16">
        <f>P22/O22</f>
        <v>0.92693391544024195</v>
      </c>
    </row>
    <row r="23" spans="1:17">
      <c r="A23" s="9"/>
      <c r="B23" s="9"/>
      <c r="C23" s="9" t="s">
        <v>81</v>
      </c>
      <c r="D23" s="15"/>
      <c r="E23" s="16">
        <f>E22/E11-1</f>
        <v>-1.3667110004999872E-2</v>
      </c>
      <c r="F23" s="16"/>
      <c r="G23" s="16">
        <f>G22/G11-1</f>
        <v>7.1644377890763167E-2</v>
      </c>
      <c r="H23" s="16"/>
      <c r="I23" s="16"/>
      <c r="J23" s="16">
        <f>J22/J11-1</f>
        <v>-0.10719407164974892</v>
      </c>
      <c r="K23" s="16"/>
      <c r="L23" s="16">
        <f>L22/L11-1</f>
        <v>-0.10850671480461804</v>
      </c>
      <c r="M23" s="16"/>
      <c r="N23" s="16"/>
      <c r="O23" s="16">
        <f>O22/O11-1</f>
        <v>-3.1321110985594314E-2</v>
      </c>
      <c r="P23" s="16">
        <f>P22/P11-1</f>
        <v>3.2458429051162252E-2</v>
      </c>
      <c r="Q23" s="16"/>
    </row>
    <row r="24" spans="1:17">
      <c r="A24" s="9"/>
      <c r="B24" s="9" t="str">
        <f>lev_wk!C50</f>
        <v>Q2</v>
      </c>
      <c r="C24" s="9" t="s">
        <v>79</v>
      </c>
      <c r="D24" s="15"/>
      <c r="E24" s="68">
        <f>lev_wk!D50</f>
        <v>267.70256520999999</v>
      </c>
      <c r="F24" s="16">
        <f>E24/O24</f>
        <v>0.82484255118569527</v>
      </c>
      <c r="G24" s="68">
        <f>lev_wk!E50</f>
        <v>253.64874696999999</v>
      </c>
      <c r="H24" s="16">
        <f>G24/P24</f>
        <v>0.81934900355466311</v>
      </c>
      <c r="I24" s="27"/>
      <c r="J24" s="68">
        <f>lev_wk!F50</f>
        <v>56.847332010000002</v>
      </c>
      <c r="K24" s="16">
        <f>J24/O24</f>
        <v>0.1751574488143047</v>
      </c>
      <c r="L24" s="68">
        <f>lev_wk!G50</f>
        <v>55.924763059999997</v>
      </c>
      <c r="M24" s="16">
        <f>L24/P24</f>
        <v>0.18065099644533691</v>
      </c>
      <c r="N24" s="27"/>
      <c r="O24" s="68">
        <f>E24+J24</f>
        <v>324.54989721999999</v>
      </c>
      <c r="P24" s="68">
        <f>G24+L24</f>
        <v>309.57351002999997</v>
      </c>
      <c r="Q24" s="16">
        <f>P24/O24</f>
        <v>0.95385490083872038</v>
      </c>
    </row>
    <row r="25" spans="1:17">
      <c r="A25" s="9"/>
      <c r="B25" s="9"/>
      <c r="C25" s="9"/>
      <c r="D25" s="15"/>
      <c r="E25" s="16">
        <f>E24/E13-1</f>
        <v>-2.3437172451205246E-2</v>
      </c>
      <c r="F25" s="16"/>
      <c r="G25" s="16">
        <f>G24/G13-1</f>
        <v>7.7514317176354153E-2</v>
      </c>
      <c r="H25" s="16"/>
      <c r="I25" s="16"/>
      <c r="J25" s="16">
        <f>J24/J13-1</f>
        <v>-5.031613207102692E-2</v>
      </c>
      <c r="K25" s="16"/>
      <c r="L25" s="16">
        <f>L24/L13-1</f>
        <v>-6.8070033085513737E-2</v>
      </c>
      <c r="M25" s="16"/>
      <c r="N25" s="16"/>
      <c r="O25" s="16">
        <f>O24/O13-1</f>
        <v>-2.8254592347409235E-2</v>
      </c>
      <c r="P25" s="16">
        <f>P24/P13-1</f>
        <v>4.7940432570817482E-2</v>
      </c>
      <c r="Q25" s="16"/>
    </row>
    <row r="26" spans="1:17">
      <c r="A26" s="9"/>
      <c r="B26" s="9" t="str">
        <f>lev_wk!C56</f>
        <v>Q3</v>
      </c>
      <c r="C26" s="9" t="s">
        <v>79</v>
      </c>
      <c r="D26" s="15"/>
      <c r="E26" s="68">
        <f>lev_wk!D56</f>
        <v>269.04412717999998</v>
      </c>
      <c r="F26" s="16">
        <f>E26/O26</f>
        <v>0.82102265460990465</v>
      </c>
      <c r="G26" s="68">
        <f>lev_wk!E56</f>
        <v>248.57252556</v>
      </c>
      <c r="H26" s="16">
        <f>G26/P26</f>
        <v>0.81182793739173109</v>
      </c>
      <c r="I26" s="27"/>
      <c r="J26" s="68">
        <f>lev_wk!F56</f>
        <v>58.649786829999996</v>
      </c>
      <c r="K26" s="16">
        <f>J26/O26</f>
        <v>0.17897734539009544</v>
      </c>
      <c r="L26" s="68">
        <f>lev_wk!G56</f>
        <v>57.6161557</v>
      </c>
      <c r="M26" s="16">
        <f>L26/P26</f>
        <v>0.18817206260826885</v>
      </c>
      <c r="N26" s="27"/>
      <c r="O26" s="68">
        <f>E26+J26</f>
        <v>327.69391400999996</v>
      </c>
      <c r="P26" s="68">
        <f>G26+L26</f>
        <v>306.18868126000001</v>
      </c>
      <c r="Q26" s="16">
        <f>P26/O26</f>
        <v>0.93437402456811058</v>
      </c>
    </row>
    <row r="27" spans="1:17" s="15" customFormat="1">
      <c r="A27" s="9"/>
      <c r="B27" s="9"/>
      <c r="C27" s="9" t="s">
        <v>81</v>
      </c>
      <c r="E27" s="16">
        <f>E26/E15-1</f>
        <v>7.2346080414855685E-3</v>
      </c>
      <c r="F27" s="16"/>
      <c r="G27" s="16">
        <f>G26/G15-1</f>
        <v>3.4666549317128093E-2</v>
      </c>
      <c r="H27" s="16"/>
      <c r="I27" s="16"/>
      <c r="J27" s="16">
        <f>J26/J15-1</f>
        <v>6.4087991498650076E-2</v>
      </c>
      <c r="K27" s="16"/>
      <c r="L27" s="16">
        <f>L26/L15-1</f>
        <v>4.1743001725041529E-2</v>
      </c>
      <c r="M27" s="16"/>
      <c r="N27" s="16"/>
      <c r="O27" s="16">
        <f>O26/O15-1</f>
        <v>1.6959402970600834E-2</v>
      </c>
      <c r="P27" s="16">
        <f>P26/P15-1</f>
        <v>3.5990787290355319E-2</v>
      </c>
      <c r="Q27" s="16"/>
    </row>
    <row r="28" spans="1:17" ht="16.149999999999999" customHeight="1">
      <c r="B28" s="3" t="str">
        <f>lev_wk!C62</f>
        <v>Q4</v>
      </c>
      <c r="C28" s="3" t="s">
        <v>79</v>
      </c>
      <c r="D28" s="15"/>
      <c r="E28" s="68">
        <f>lev_wk!D62</f>
        <v>276.63267844000001</v>
      </c>
      <c r="F28" s="8">
        <f>E28/O28</f>
        <v>0.81815274814988459</v>
      </c>
      <c r="G28" s="68">
        <f>lev_wk!E62</f>
        <v>260.12157010999999</v>
      </c>
      <c r="H28" s="8">
        <f>G28/P28</f>
        <v>0.81140889759665213</v>
      </c>
      <c r="I28" s="27"/>
      <c r="J28" s="68">
        <f>lev_wk!F62</f>
        <v>61.485941910000001</v>
      </c>
      <c r="K28" s="8">
        <f>J28/O28</f>
        <v>0.18184725185011538</v>
      </c>
      <c r="L28" s="68">
        <f>lev_wk!G62</f>
        <v>60.458560179999999</v>
      </c>
      <c r="M28" s="8">
        <f>L28/P28</f>
        <v>0.18859110240334789</v>
      </c>
      <c r="N28" s="27"/>
      <c r="O28" s="68">
        <f>E28+J28</f>
        <v>338.11862035000001</v>
      </c>
      <c r="P28" s="68">
        <f>G28+L28</f>
        <v>320.58013029</v>
      </c>
      <c r="Q28" s="8">
        <f>P28/O28</f>
        <v>0.94812918010299096</v>
      </c>
    </row>
    <row r="29" spans="1:17" ht="16.149999999999999" customHeight="1">
      <c r="B29" s="4"/>
      <c r="C29" s="4" t="s">
        <v>81</v>
      </c>
      <c r="D29" s="15"/>
      <c r="E29" s="13">
        <f>E28/E17-1</f>
        <v>2.2909454244142147E-3</v>
      </c>
      <c r="F29" s="13"/>
      <c r="G29" s="13">
        <f>G28/G17-1</f>
        <v>4.1297471913265937E-2</v>
      </c>
      <c r="H29" s="13"/>
      <c r="I29" s="27"/>
      <c r="J29" s="13">
        <f>J28/J17-1</f>
        <v>5.0337214091116911E-2</v>
      </c>
      <c r="K29" s="13"/>
      <c r="L29" s="13">
        <f>L28/L17-1</f>
        <v>2.9255336901135687E-2</v>
      </c>
      <c r="M29" s="13"/>
      <c r="N29" s="27"/>
      <c r="O29" s="13">
        <f>O28/O17-1</f>
        <v>1.0698296600793356E-2</v>
      </c>
      <c r="P29" s="13">
        <f>P28/P17-1</f>
        <v>3.9004920058106407E-2</v>
      </c>
      <c r="Q29" s="13"/>
    </row>
    <row r="30" spans="1:17">
      <c r="B30" s="3" t="s">
        <v>80</v>
      </c>
      <c r="C30" s="3" t="s">
        <v>79</v>
      </c>
      <c r="D30" s="15"/>
      <c r="E30" s="68">
        <f>E26+E24+E22+E28</f>
        <v>1075.97170807</v>
      </c>
      <c r="F30" s="8">
        <f>E30/O30</f>
        <v>0.82244441610696306</v>
      </c>
      <c r="G30" s="68">
        <f>G26+G24+G22+G28</f>
        <v>1001.6688468599999</v>
      </c>
      <c r="H30" s="8">
        <f>G30/P30</f>
        <v>0.81369476980243216</v>
      </c>
      <c r="I30" s="27"/>
      <c r="J30" s="68">
        <f>J26+J24+J22+J28</f>
        <v>232.28899259000002</v>
      </c>
      <c r="K30" s="8">
        <f>J30/O30</f>
        <v>0.17755558389303702</v>
      </c>
      <c r="L30" s="68">
        <f>L26+L24+L22+L28</f>
        <v>229.34416199</v>
      </c>
      <c r="M30" s="8">
        <f>L30/P30</f>
        <v>0.18630523019756798</v>
      </c>
      <c r="N30" s="27"/>
      <c r="O30" s="68">
        <f>O26+O24+O22+O28</f>
        <v>1308.2607006599999</v>
      </c>
      <c r="P30" s="68">
        <f>P26+P24+P22+P28</f>
        <v>1231.0130088499998</v>
      </c>
      <c r="Q30" s="8">
        <f>P30/O30</f>
        <v>0.94095390026542136</v>
      </c>
    </row>
    <row r="31" spans="1:17">
      <c r="A31" s="4"/>
      <c r="B31" s="4"/>
      <c r="C31" s="4" t="s">
        <v>81</v>
      </c>
      <c r="D31" s="15"/>
      <c r="E31" s="13">
        <f>E30/E19-1</f>
        <v>-6.9209344145226837E-3</v>
      </c>
      <c r="F31" s="13"/>
      <c r="G31" s="13">
        <f>G30/G19-1</f>
        <v>5.5747358188698692E-2</v>
      </c>
      <c r="H31" s="13"/>
      <c r="I31" s="16"/>
      <c r="J31" s="13">
        <f>J30/J19-1</f>
        <v>-1.3475979912963454E-2</v>
      </c>
      <c r="K31" s="13"/>
      <c r="L31" s="13">
        <f>L30/L19-1</f>
        <v>-2.8770831136441299E-2</v>
      </c>
      <c r="M31" s="13"/>
      <c r="N31" s="16"/>
      <c r="O31" s="13">
        <f>O30/O19-1</f>
        <v>-8.0911722535971231E-3</v>
      </c>
      <c r="P31" s="13">
        <f>P30/P19-1</f>
        <v>3.8903990518225129E-2</v>
      </c>
      <c r="Q31" s="13"/>
    </row>
    <row r="32" spans="1:17">
      <c r="A32" s="34" t="str">
        <f>說明!B18</f>
        <v>1.</v>
      </c>
      <c r="B32" s="34" t="str">
        <f>說明!C18</f>
        <v>資料來源：總額各案件核定醫療費用分攤明細(PHFB_DECIDE_DIST)</v>
      </c>
      <c r="E32" s="7"/>
      <c r="F32" s="8"/>
      <c r="G32" s="7"/>
      <c r="H32" s="8"/>
      <c r="J32" s="7"/>
      <c r="K32" s="8"/>
      <c r="L32" s="7"/>
      <c r="M32" s="8"/>
      <c r="O32" s="7"/>
      <c r="P32" s="7"/>
      <c r="Q32" s="8"/>
    </row>
    <row r="33" spans="1:17">
      <c r="A33" s="34" t="str">
        <f>說明!B19</f>
        <v>2.</v>
      </c>
      <c r="B33" s="34" t="str">
        <f>說明!C19</f>
        <v>資料處理：</v>
      </c>
      <c r="E33" s="7"/>
      <c r="F33" s="8"/>
      <c r="G33" s="7"/>
      <c r="H33" s="8"/>
      <c r="J33" s="7"/>
      <c r="K33" s="8"/>
      <c r="L33" s="7"/>
      <c r="M33" s="8"/>
      <c r="O33" s="7"/>
      <c r="P33" s="7"/>
      <c r="Q33" s="8"/>
    </row>
    <row r="34" spans="1:17">
      <c r="A34" s="34"/>
      <c r="B34" s="34" t="str">
        <f>說明!C20</f>
        <v>※本表僅含當季核定之送核、補報資料</v>
      </c>
      <c r="E34" s="7"/>
      <c r="F34" s="8"/>
      <c r="G34" s="7"/>
      <c r="H34" s="8"/>
      <c r="J34" s="7"/>
      <c r="K34" s="8"/>
      <c r="L34" s="7"/>
      <c r="M34" s="8"/>
      <c r="O34" s="7"/>
      <c r="P34" s="7"/>
      <c r="Q34" s="8"/>
    </row>
    <row r="35" spans="1:17">
      <c r="A35" s="34"/>
      <c r="B35" s="34" t="str">
        <f>說明!C21</f>
        <v>※本表不含申複、爭議審議等之核定醫療點數及費用</v>
      </c>
      <c r="E35" s="7"/>
      <c r="F35" s="8"/>
      <c r="G35" s="7"/>
      <c r="H35" s="8"/>
      <c r="J35" s="7"/>
      <c r="K35" s="8"/>
      <c r="L35" s="7"/>
      <c r="M35" s="8"/>
      <c r="O35" s="7"/>
      <c r="P35" s="7"/>
      <c r="Q35" s="8"/>
    </row>
    <row r="36" spans="1:17">
      <c r="A36" s="34"/>
      <c r="B36" s="34" t="str">
        <f>說明!C22</f>
        <v>※本表不含代辦、總額外及追扣、補付付款之項目</v>
      </c>
      <c r="E36" s="7"/>
      <c r="F36" s="8"/>
      <c r="G36" s="7"/>
      <c r="H36" s="8"/>
      <c r="J36" s="7"/>
      <c r="K36" s="8"/>
      <c r="L36" s="7"/>
      <c r="M36" s="8"/>
      <c r="O36" s="7"/>
      <c r="P36" s="7"/>
      <c r="Q36" s="8"/>
    </row>
    <row r="37" spans="1:17">
      <c r="A37" s="34"/>
      <c r="B37" s="34" t="str">
        <f>說明!C23</f>
        <v>※本表所謂浮動點值部分係指各總額別中一般部門預算之浮動點值部份</v>
      </c>
      <c r="E37" s="7"/>
      <c r="F37" s="8"/>
      <c r="G37" s="7"/>
      <c r="H37" s="8"/>
      <c r="J37" s="7"/>
      <c r="K37" s="8"/>
      <c r="L37" s="7"/>
      <c r="M37" s="8"/>
      <c r="O37" s="7"/>
      <c r="P37" s="7"/>
      <c r="Q37" s="8"/>
    </row>
    <row r="38" spans="1:17">
      <c r="A38" s="34"/>
      <c r="B38" s="34" t="str">
        <f>說明!C24</f>
        <v>※本表所謂固定點值部分係指各總額別中一般部門預算之非浮動點值及專款部份</v>
      </c>
    </row>
    <row r="39" spans="1:17">
      <c r="A39" s="34"/>
      <c r="B39" s="34" t="str">
        <f>說明!C25</f>
        <v>※層級別中不含處方釋出之醫療點數及費用</v>
      </c>
    </row>
    <row r="40" spans="1:17">
      <c r="A40" s="34"/>
      <c r="B40" s="34"/>
    </row>
    <row r="41" spans="1:17">
      <c r="A41" s="34"/>
      <c r="B41" s="34"/>
    </row>
    <row r="42" spans="1:17">
      <c r="A42" s="34"/>
      <c r="B42" s="34"/>
    </row>
  </sheetData>
  <mergeCells count="7">
    <mergeCell ref="A21:C21"/>
    <mergeCell ref="A4:C4"/>
    <mergeCell ref="A10:C10"/>
    <mergeCell ref="A1:Q1"/>
    <mergeCell ref="E2:H2"/>
    <mergeCell ref="J2:M2"/>
    <mergeCell ref="O2:Q2"/>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89" orientation="landscape" r:id="rId1"/>
  <headerFooter alignWithMargins="0"/>
</worksheet>
</file>

<file path=xl/worksheets/sheet24.xml><?xml version="1.0" encoding="utf-8"?>
<worksheet xmlns="http://schemas.openxmlformats.org/spreadsheetml/2006/main" xmlns:r="http://schemas.openxmlformats.org/officeDocument/2006/relationships">
  <sheetPr codeName="Sheet18">
    <pageSetUpPr fitToPage="1"/>
  </sheetPr>
  <dimension ref="A1:R42"/>
  <sheetViews>
    <sheetView showGridLines="0" zoomScale="75" workbookViewId="0">
      <pane ySplit="3" topLeftCell="A4" activePane="bottomLeft" state="frozen"/>
      <selection pane="bottomLeft" activeCell="R3" sqref="R3"/>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375" style="3" bestFit="1" customWidth="1"/>
    <col min="6" max="6" width="11.125" style="3" bestFit="1" customWidth="1"/>
    <col min="7" max="7" width="11.5" style="3" bestFit="1" customWidth="1"/>
    <col min="8" max="8" width="11.125" style="3" bestFit="1" customWidth="1"/>
    <col min="9" max="9" width="1.875" style="3" customWidth="1"/>
    <col min="10" max="10" width="12.375" style="3" bestFit="1" customWidth="1"/>
    <col min="11" max="11" width="11.125" style="3" bestFit="1" customWidth="1"/>
    <col min="12" max="12" width="11.5" style="3" bestFit="1" customWidth="1"/>
    <col min="13" max="13" width="11.125" style="3" bestFit="1" customWidth="1"/>
    <col min="14" max="14" width="2.25" style="3" customWidth="1"/>
    <col min="15" max="16" width="12.375" style="3" bestFit="1" customWidth="1"/>
    <col min="17" max="17" width="11.125" style="3" bestFit="1" customWidth="1"/>
    <col min="18" max="16384" width="8.875" style="2"/>
  </cols>
  <sheetData>
    <row r="1" spans="1:18" ht="40.9" customHeight="1">
      <c r="A1" s="95" t="s">
        <v>215</v>
      </c>
      <c r="B1" s="95"/>
      <c r="C1" s="95"/>
      <c r="D1" s="95"/>
      <c r="E1" s="95"/>
      <c r="F1" s="95"/>
      <c r="G1" s="95"/>
      <c r="H1" s="95"/>
      <c r="I1" s="95"/>
      <c r="J1" s="95"/>
      <c r="K1" s="95"/>
      <c r="L1" s="95"/>
      <c r="M1" s="95"/>
      <c r="N1" s="95"/>
      <c r="O1" s="95"/>
      <c r="P1" s="95"/>
      <c r="Q1" s="95"/>
    </row>
    <row r="2" spans="1:18" s="3" customFormat="1">
      <c r="E2" s="90" t="s">
        <v>104</v>
      </c>
      <c r="F2" s="90"/>
      <c r="G2" s="90"/>
      <c r="H2" s="90"/>
      <c r="J2" s="90" t="s">
        <v>105</v>
      </c>
      <c r="K2" s="90"/>
      <c r="L2" s="90"/>
      <c r="M2" s="90"/>
      <c r="O2" s="90" t="s">
        <v>106</v>
      </c>
      <c r="P2" s="90"/>
      <c r="Q2" s="90"/>
    </row>
    <row r="3" spans="1:18" s="3" customFormat="1" ht="33">
      <c r="A3" s="4" t="s">
        <v>107</v>
      </c>
      <c r="B3" s="4" t="s">
        <v>108</v>
      </c>
      <c r="C3" s="4" t="s">
        <v>109</v>
      </c>
      <c r="E3" s="5" t="s">
        <v>218</v>
      </c>
      <c r="F3" s="6" t="s">
        <v>110</v>
      </c>
      <c r="G3" s="35" t="s">
        <v>219</v>
      </c>
      <c r="H3" s="6" t="s">
        <v>110</v>
      </c>
      <c r="J3" s="5" t="s">
        <v>218</v>
      </c>
      <c r="K3" s="6" t="s">
        <v>110</v>
      </c>
      <c r="L3" s="35" t="s">
        <v>219</v>
      </c>
      <c r="M3" s="6" t="s">
        <v>110</v>
      </c>
      <c r="O3" s="5" t="s">
        <v>220</v>
      </c>
      <c r="P3" s="35" t="s">
        <v>221</v>
      </c>
      <c r="Q3" s="35" t="s">
        <v>216</v>
      </c>
      <c r="R3" s="84"/>
    </row>
    <row r="4" spans="1:18">
      <c r="A4" s="88">
        <f>lev_wk!B34</f>
        <v>2004</v>
      </c>
      <c r="B4" s="88"/>
      <c r="C4" s="88"/>
      <c r="D4" s="9"/>
      <c r="E4" s="10"/>
      <c r="F4" s="9"/>
      <c r="G4" s="9"/>
      <c r="H4" s="9"/>
      <c r="I4" s="9"/>
      <c r="J4" s="10"/>
      <c r="K4" s="9"/>
      <c r="L4" s="9"/>
      <c r="M4" s="9"/>
      <c r="N4" s="9"/>
      <c r="O4" s="10"/>
      <c r="P4" s="9"/>
      <c r="Q4" s="9"/>
    </row>
    <row r="5" spans="1:18">
      <c r="A5" s="2"/>
      <c r="B5" s="3" t="str">
        <f>lev_wk!C34</f>
        <v>Q1</v>
      </c>
      <c r="C5" s="3" t="s">
        <v>111</v>
      </c>
      <c r="D5" s="15"/>
      <c r="E5" s="65">
        <f>lev_wk!D34</f>
        <v>0.98965143</v>
      </c>
      <c r="F5" s="8">
        <f>E5/O5</f>
        <v>3.6647862305933074E-2</v>
      </c>
      <c r="G5" s="65">
        <f>lev_wk!E34</f>
        <v>0.76005602999999999</v>
      </c>
      <c r="H5" s="8">
        <f>G5/P5</f>
        <v>2.838704783110927E-2</v>
      </c>
      <c r="I5" s="16"/>
      <c r="J5" s="65">
        <f>lev_wk!F34</f>
        <v>26.014691190000001</v>
      </c>
      <c r="K5" s="8">
        <f>J5/O5</f>
        <v>0.96335213769406702</v>
      </c>
      <c r="L5" s="65">
        <f>lev_wk!G34</f>
        <v>26.014691190000001</v>
      </c>
      <c r="M5" s="8">
        <f>L5/P5</f>
        <v>0.97161295216889065</v>
      </c>
      <c r="N5" s="16"/>
      <c r="O5" s="65">
        <f>E5+J5</f>
        <v>27.004342619999999</v>
      </c>
      <c r="P5" s="65">
        <f>G5+L5</f>
        <v>26.774747220000002</v>
      </c>
      <c r="Q5" s="8">
        <f>P5/O5</f>
        <v>0.99149783413613057</v>
      </c>
    </row>
    <row r="6" spans="1:18">
      <c r="B6" s="3" t="str">
        <f>lev_wk!C35</f>
        <v>Q2</v>
      </c>
      <c r="C6" s="3" t="s">
        <v>111</v>
      </c>
      <c r="D6" s="15"/>
      <c r="E6" s="65">
        <f>lev_wk!D35</f>
        <v>1.2962307900000001</v>
      </c>
      <c r="F6" s="8">
        <f>E6/O6</f>
        <v>4.6220616222922561E-2</v>
      </c>
      <c r="G6" s="65">
        <f>lev_wk!E35</f>
        <v>0.99601110999999998</v>
      </c>
      <c r="H6" s="8">
        <f>G6/P6</f>
        <v>3.5899783573287998E-2</v>
      </c>
      <c r="I6" s="27"/>
      <c r="J6" s="65">
        <f>lev_wk!F35</f>
        <v>26.748198210000002</v>
      </c>
      <c r="K6" s="8">
        <f>J6/O6</f>
        <v>0.95377938377707749</v>
      </c>
      <c r="L6" s="65">
        <f>lev_wk!G35</f>
        <v>26.748198210000002</v>
      </c>
      <c r="M6" s="8">
        <f>L6/P6</f>
        <v>0.96410021642671195</v>
      </c>
      <c r="N6" s="27"/>
      <c r="O6" s="65">
        <f>E6+J6</f>
        <v>28.044429000000001</v>
      </c>
      <c r="P6" s="65">
        <f>G6+L6</f>
        <v>27.744209320000003</v>
      </c>
      <c r="Q6" s="8">
        <f>P6/O6</f>
        <v>0.98929485496032032</v>
      </c>
    </row>
    <row r="7" spans="1:18">
      <c r="B7" s="3" t="str">
        <f>lev_wk!C36</f>
        <v>Q3</v>
      </c>
      <c r="C7" s="3" t="s">
        <v>111</v>
      </c>
      <c r="D7" s="15"/>
      <c r="E7" s="65">
        <f>lev_wk!D36</f>
        <v>1.3997625499999999</v>
      </c>
      <c r="F7" s="8">
        <f>E7/O7</f>
        <v>4.6096247653624474E-2</v>
      </c>
      <c r="G7" s="65">
        <f>lev_wk!E36</f>
        <v>1.0067784900000001</v>
      </c>
      <c r="H7" s="8">
        <f>G7/P7</f>
        <v>3.3589401037208221E-2</v>
      </c>
      <c r="I7" s="27"/>
      <c r="J7" s="65">
        <f>lev_wk!F36</f>
        <v>28.966321919999999</v>
      </c>
      <c r="K7" s="8">
        <f>J7/O7</f>
        <v>0.95390375234637559</v>
      </c>
      <c r="L7" s="65">
        <f>lev_wk!G36</f>
        <v>28.966321919999999</v>
      </c>
      <c r="M7" s="8">
        <f>L7/P7</f>
        <v>0.9664105989627918</v>
      </c>
      <c r="N7" s="27"/>
      <c r="O7" s="65">
        <f>E7+J7</f>
        <v>30.366084469999997</v>
      </c>
      <c r="P7" s="65">
        <f>G7+L7</f>
        <v>29.973100409999997</v>
      </c>
      <c r="Q7" s="8">
        <f>P7/O7</f>
        <v>0.98705845462597441</v>
      </c>
    </row>
    <row r="8" spans="1:18">
      <c r="B8" s="4" t="str">
        <f>lev_wk!C37</f>
        <v>Q4</v>
      </c>
      <c r="C8" s="4" t="s">
        <v>111</v>
      </c>
      <c r="D8" s="15"/>
      <c r="E8" s="66">
        <f>lev_wk!D37</f>
        <v>1.61041334</v>
      </c>
      <c r="F8" s="13">
        <f>E8/O8</f>
        <v>4.6082138668029175E-2</v>
      </c>
      <c r="G8" s="66">
        <f>lev_wk!E37</f>
        <v>1.05355486</v>
      </c>
      <c r="H8" s="13">
        <f>G8/P8</f>
        <v>3.0635744756015031E-2</v>
      </c>
      <c r="I8" s="27"/>
      <c r="J8" s="66">
        <f>lev_wk!F37</f>
        <v>33.336170879999997</v>
      </c>
      <c r="K8" s="13">
        <f>J8/O8</f>
        <v>0.95391786133197076</v>
      </c>
      <c r="L8" s="66">
        <f>lev_wk!G37</f>
        <v>33.336170879999997</v>
      </c>
      <c r="M8" s="13">
        <f>L8/P8</f>
        <v>0.96936425524398506</v>
      </c>
      <c r="N8" s="27"/>
      <c r="O8" s="66">
        <f>E8+J8</f>
        <v>34.946584219999998</v>
      </c>
      <c r="P8" s="66">
        <f>G8+L8</f>
        <v>34.389725739999996</v>
      </c>
      <c r="Q8" s="13">
        <f>P8/O8</f>
        <v>0.98406543894263321</v>
      </c>
    </row>
    <row r="9" spans="1:18">
      <c r="A9" s="4"/>
      <c r="B9" s="4" t="s">
        <v>112</v>
      </c>
      <c r="C9" s="4" t="s">
        <v>111</v>
      </c>
      <c r="D9" s="15"/>
      <c r="E9" s="66">
        <f>SUM(E5:E8)</f>
        <v>5.2960581099999997</v>
      </c>
      <c r="F9" s="13">
        <f>E9/O9</f>
        <v>4.4001285597443839E-2</v>
      </c>
      <c r="G9" s="66">
        <f>SUM(G5:G8)</f>
        <v>3.8164004900000004</v>
      </c>
      <c r="H9" s="13">
        <f>G9/P9</f>
        <v>3.2102483691313501E-2</v>
      </c>
      <c r="I9" s="27"/>
      <c r="J9" s="66">
        <f>SUM(J5:J8)</f>
        <v>115.0653822</v>
      </c>
      <c r="K9" s="13">
        <f>J9/O9</f>
        <v>0.95599871440255613</v>
      </c>
      <c r="L9" s="66">
        <f>SUM(L5:L8)</f>
        <v>115.0653822</v>
      </c>
      <c r="M9" s="13">
        <f>L9/P9</f>
        <v>0.96789751630868659</v>
      </c>
      <c r="N9" s="27"/>
      <c r="O9" s="66">
        <f>SUM(O5:O8)</f>
        <v>120.36144031000001</v>
      </c>
      <c r="P9" s="66">
        <f>SUM(P5:P8)</f>
        <v>118.88178268999999</v>
      </c>
      <c r="Q9" s="13">
        <f>P9/O9</f>
        <v>0.98770654774328859</v>
      </c>
    </row>
    <row r="10" spans="1:18">
      <c r="A10" s="88">
        <f>lev_wk!B38</f>
        <v>2005</v>
      </c>
      <c r="B10" s="88"/>
      <c r="C10" s="88"/>
      <c r="D10" s="15"/>
      <c r="E10" s="7"/>
      <c r="F10" s="8"/>
      <c r="G10" s="7"/>
      <c r="H10" s="8"/>
      <c r="I10" s="27"/>
      <c r="J10" s="7"/>
      <c r="K10" s="8"/>
      <c r="L10" s="7"/>
      <c r="M10" s="8"/>
      <c r="N10" s="27"/>
      <c r="O10" s="7"/>
      <c r="P10" s="7"/>
      <c r="Q10" s="8"/>
    </row>
    <row r="11" spans="1:18">
      <c r="A11" s="2"/>
      <c r="B11" s="3" t="str">
        <f>lev_wk!C38</f>
        <v>Q1</v>
      </c>
      <c r="C11" s="3" t="s">
        <v>111</v>
      </c>
      <c r="D11" s="15"/>
      <c r="E11" s="65">
        <f>lev_wk!D38</f>
        <v>1.37855528</v>
      </c>
      <c r="F11" s="8">
        <f>E11/O11</f>
        <v>3.6817810242956009E-2</v>
      </c>
      <c r="G11" s="65">
        <f>lev_wk!E38</f>
        <v>1.0264166400000001</v>
      </c>
      <c r="H11" s="8">
        <f>G11/P11</f>
        <v>2.7673316737357494E-2</v>
      </c>
      <c r="I11" s="27"/>
      <c r="J11" s="65">
        <f>lev_wk!F38</f>
        <v>36.064064770000002</v>
      </c>
      <c r="K11" s="8">
        <f>J11/O11</f>
        <v>0.96318218975704395</v>
      </c>
      <c r="L11" s="65">
        <f>lev_wk!G38</f>
        <v>36.064064770000002</v>
      </c>
      <c r="M11" s="8">
        <f>L11/P11</f>
        <v>0.97232668326264249</v>
      </c>
      <c r="N11" s="27"/>
      <c r="O11" s="65">
        <f>E11+J11</f>
        <v>37.442620050000002</v>
      </c>
      <c r="P11" s="65">
        <f>G11+L11</f>
        <v>37.090481410000002</v>
      </c>
      <c r="Q11" s="8">
        <f>P11/O11</f>
        <v>0.99059524575123847</v>
      </c>
    </row>
    <row r="12" spans="1:18">
      <c r="C12" s="3" t="s">
        <v>113</v>
      </c>
      <c r="D12" s="15"/>
      <c r="E12" s="8">
        <f>E11/E5-1</f>
        <v>0.39297053306940621</v>
      </c>
      <c r="F12" s="8"/>
      <c r="G12" s="8">
        <f>G11/G5-1</f>
        <v>0.35044865047646567</v>
      </c>
      <c r="H12" s="8"/>
      <c r="I12" s="16"/>
      <c r="J12" s="8">
        <f>J11/J5-1</f>
        <v>0.38629609348824268</v>
      </c>
      <c r="K12" s="8"/>
      <c r="L12" s="8">
        <f>L11/L5-1</f>
        <v>0.38629609348824268</v>
      </c>
      <c r="M12" s="8"/>
      <c r="N12" s="16"/>
      <c r="O12" s="8">
        <f>O11/O5-1</f>
        <v>0.38654069743098241</v>
      </c>
      <c r="P12" s="8">
        <f>P11/P5-1</f>
        <v>0.38527849040884421</v>
      </c>
      <c r="Q12" s="8"/>
    </row>
    <row r="13" spans="1:18">
      <c r="B13" s="3" t="str">
        <f>lev_wk!C39</f>
        <v>Q2</v>
      </c>
      <c r="C13" s="3" t="s">
        <v>111</v>
      </c>
      <c r="D13" s="15"/>
      <c r="E13" s="65">
        <f>lev_wk!D39</f>
        <v>1.4821327500000001</v>
      </c>
      <c r="F13" s="8">
        <f>E13/O13</f>
        <v>3.952702798089499E-2</v>
      </c>
      <c r="G13" s="65">
        <f>lev_wk!E39</f>
        <v>1.14181449</v>
      </c>
      <c r="H13" s="8">
        <f>G13/P13</f>
        <v>3.0729977368084114E-2</v>
      </c>
      <c r="I13" s="27"/>
      <c r="J13" s="65">
        <f>lev_wk!F39</f>
        <v>36.014558139999998</v>
      </c>
      <c r="K13" s="8">
        <f>J13/O13</f>
        <v>0.96047297201910509</v>
      </c>
      <c r="L13" s="65">
        <f>lev_wk!G39</f>
        <v>36.014558139999998</v>
      </c>
      <c r="M13" s="8">
        <f>L13/P13</f>
        <v>0.96927002263191586</v>
      </c>
      <c r="N13" s="27"/>
      <c r="O13" s="65">
        <f>E13+J13</f>
        <v>37.496690889999996</v>
      </c>
      <c r="P13" s="65">
        <f>G13+L13</f>
        <v>37.15637263</v>
      </c>
      <c r="Q13" s="8">
        <f>P13/O13</f>
        <v>0.99092404551115321</v>
      </c>
    </row>
    <row r="14" spans="1:18">
      <c r="C14" s="3" t="s">
        <v>113</v>
      </c>
      <c r="D14" s="15"/>
      <c r="E14" s="8">
        <f>E13/E6-1</f>
        <v>0.14341733079801333</v>
      </c>
      <c r="F14" s="8"/>
      <c r="G14" s="8">
        <f>G13/G6-1</f>
        <v>0.14638730284845924</v>
      </c>
      <c r="H14" s="8"/>
      <c r="I14" s="16"/>
      <c r="J14" s="8">
        <f>J13/J6-1</f>
        <v>0.34642931300455615</v>
      </c>
      <c r="K14" s="8"/>
      <c r="L14" s="8">
        <f>L13/L6-1</f>
        <v>0.34642931300455615</v>
      </c>
      <c r="M14" s="8"/>
      <c r="N14" s="16"/>
      <c r="O14" s="8">
        <f>O13/O6-1</f>
        <v>0.33704597408633252</v>
      </c>
      <c r="P14" s="8">
        <f>P13/P6-1</f>
        <v>0.3392478481343868</v>
      </c>
      <c r="Q14" s="8"/>
    </row>
    <row r="15" spans="1:18">
      <c r="B15" s="3" t="str">
        <f>lev_wk!C40</f>
        <v>Q3</v>
      </c>
      <c r="C15" s="3" t="s">
        <v>111</v>
      </c>
      <c r="D15" s="15"/>
      <c r="E15" s="65">
        <f>lev_wk!D40</f>
        <v>1.2669322599999999</v>
      </c>
      <c r="F15" s="8">
        <f>E15/O15</f>
        <v>3.4923910874705609E-2</v>
      </c>
      <c r="G15" s="65">
        <f>lev_wk!E40</f>
        <v>1.02623504</v>
      </c>
      <c r="H15" s="8">
        <f>G15/P15</f>
        <v>2.8477867110130853E-2</v>
      </c>
      <c r="I15" s="27"/>
      <c r="J15" s="65">
        <f>lev_wk!F40</f>
        <v>35.00999745</v>
      </c>
      <c r="K15" s="8">
        <f>J15/O15</f>
        <v>0.96507608912529441</v>
      </c>
      <c r="L15" s="65">
        <f>lev_wk!G40</f>
        <v>35.00999745</v>
      </c>
      <c r="M15" s="8">
        <f>L15/P15</f>
        <v>0.97152213288986911</v>
      </c>
      <c r="N15" s="27"/>
      <c r="O15" s="65">
        <f>E15+J15</f>
        <v>36.276929709999997</v>
      </c>
      <c r="P15" s="65">
        <f>G15+L15</f>
        <v>36.036232490000003</v>
      </c>
      <c r="Q15" s="8">
        <f>P15/O15</f>
        <v>0.99336500575092368</v>
      </c>
    </row>
    <row r="16" spans="1:18" s="15" customFormat="1">
      <c r="A16" s="9"/>
      <c r="B16" s="9"/>
      <c r="C16" s="9" t="s">
        <v>113</v>
      </c>
      <c r="E16" s="16">
        <f>E15/E7-1</f>
        <v>-9.4894873419781089E-2</v>
      </c>
      <c r="F16" s="16"/>
      <c r="G16" s="16">
        <f>G15/G7-1</f>
        <v>1.9325551939433971E-2</v>
      </c>
      <c r="H16" s="16"/>
      <c r="I16" s="16"/>
      <c r="J16" s="16">
        <f>J15/J7-1</f>
        <v>0.20864490654669909</v>
      </c>
      <c r="K16" s="16"/>
      <c r="L16" s="16">
        <f>L15/L7-1</f>
        <v>0.20864490654669909</v>
      </c>
      <c r="M16" s="16"/>
      <c r="N16" s="16"/>
      <c r="O16" s="16">
        <f>O15/O7-1</f>
        <v>0.19465286167663742</v>
      </c>
      <c r="P16" s="16">
        <f>P15/P7-1</f>
        <v>0.20228578282069032</v>
      </c>
      <c r="Q16" s="16"/>
    </row>
    <row r="17" spans="1:17" ht="16.149999999999999" customHeight="1">
      <c r="B17" s="3" t="str">
        <f>lev_wk!C41</f>
        <v>Q4</v>
      </c>
      <c r="C17" s="3" t="s">
        <v>111</v>
      </c>
      <c r="D17" s="15"/>
      <c r="E17" s="65">
        <f>lev_wk!D41</f>
        <v>1.25744615</v>
      </c>
      <c r="F17" s="8">
        <f>E17/O17</f>
        <v>3.1687456742296491E-2</v>
      </c>
      <c r="G17" s="65">
        <f>lev_wk!E41</f>
        <v>1.01907075</v>
      </c>
      <c r="H17" s="8">
        <f>G17/P17</f>
        <v>2.5835627220358579E-2</v>
      </c>
      <c r="I17" s="27"/>
      <c r="J17" s="65">
        <f>lev_wk!F41</f>
        <v>38.425326759999997</v>
      </c>
      <c r="K17" s="8">
        <f>J17/O17</f>
        <v>0.96831254325770355</v>
      </c>
      <c r="L17" s="65">
        <f>lev_wk!G41</f>
        <v>38.425326759999997</v>
      </c>
      <c r="M17" s="8">
        <f>L17/P17</f>
        <v>0.97416437277964152</v>
      </c>
      <c r="N17" s="27"/>
      <c r="O17" s="65">
        <f>E17+J17</f>
        <v>39.682772909999997</v>
      </c>
      <c r="P17" s="65">
        <f>G17+L17</f>
        <v>39.444397509999995</v>
      </c>
      <c r="Q17" s="8">
        <f>P17/O17</f>
        <v>0.99399297522527885</v>
      </c>
    </row>
    <row r="18" spans="1:17" ht="16.149999999999999" customHeight="1">
      <c r="B18" s="4"/>
      <c r="C18" s="4" t="s">
        <v>113</v>
      </c>
      <c r="D18" s="15"/>
      <c r="E18" s="13">
        <f>E17/E8-1</f>
        <v>-0.2191780092929434</v>
      </c>
      <c r="F18" s="13"/>
      <c r="G18" s="13">
        <f>G17/G8-1</f>
        <v>-3.2731195412073699E-2</v>
      </c>
      <c r="H18" s="13"/>
      <c r="I18" s="27"/>
      <c r="J18" s="13">
        <f>J17/J8-1</f>
        <v>0.15266168086069043</v>
      </c>
      <c r="K18" s="13"/>
      <c r="L18" s="13">
        <f>L17/L8-1</f>
        <v>0.15266168086069043</v>
      </c>
      <c r="M18" s="13"/>
      <c r="N18" s="27"/>
      <c r="O18" s="13">
        <f>O17/O8-1</f>
        <v>0.13552651269675353</v>
      </c>
      <c r="P18" s="13">
        <f>P17/P8-1</f>
        <v>0.14698203202361459</v>
      </c>
      <c r="Q18" s="13"/>
    </row>
    <row r="19" spans="1:17">
      <c r="B19" s="3" t="s">
        <v>112</v>
      </c>
      <c r="C19" s="3" t="s">
        <v>111</v>
      </c>
      <c r="D19" s="15"/>
      <c r="E19" s="65">
        <f>E15+E13+E11+E17</f>
        <v>5.3850664399999992</v>
      </c>
      <c r="F19" s="8">
        <f>E19/O19</f>
        <v>3.5686558268048625E-2</v>
      </c>
      <c r="G19" s="65">
        <f>G15+G13+G11+G17</f>
        <v>4.2135369200000001</v>
      </c>
      <c r="H19" s="8">
        <f>G19/P19</f>
        <v>2.8141372621170512E-2</v>
      </c>
      <c r="I19" s="27"/>
      <c r="J19" s="65">
        <f>J15+J13+J11+J17</f>
        <v>145.51394712000001</v>
      </c>
      <c r="K19" s="8">
        <f>J19/O19</f>
        <v>0.96431344173195155</v>
      </c>
      <c r="L19" s="65">
        <f>L15+L13+L11+L17</f>
        <v>145.51394712000001</v>
      </c>
      <c r="M19" s="8">
        <f>L19/P19</f>
        <v>0.97185862737882966</v>
      </c>
      <c r="N19" s="27"/>
      <c r="O19" s="65">
        <f>O15+O13+O11+O17</f>
        <v>150.89901355999999</v>
      </c>
      <c r="P19" s="65">
        <f>P15+P13+P11+P17</f>
        <v>149.72748403999998</v>
      </c>
      <c r="Q19" s="8">
        <f>P19/O19</f>
        <v>0.99223633413922763</v>
      </c>
    </row>
    <row r="20" spans="1:17">
      <c r="A20" s="4"/>
      <c r="B20" s="4"/>
      <c r="C20" s="4" t="s">
        <v>113</v>
      </c>
      <c r="D20" s="15"/>
      <c r="E20" s="13">
        <f>E19/E9-1</f>
        <v>1.6806524428411018E-2</v>
      </c>
      <c r="F20" s="13"/>
      <c r="G20" s="13">
        <f>G19/G9-1</f>
        <v>0.10406047034125598</v>
      </c>
      <c r="H20" s="13"/>
      <c r="I20" s="16"/>
      <c r="J20" s="13">
        <f>J19/J9-1</f>
        <v>0.2646196826346614</v>
      </c>
      <c r="K20" s="13"/>
      <c r="L20" s="13">
        <f>L19/L9-1</f>
        <v>0.2646196826346614</v>
      </c>
      <c r="M20" s="13"/>
      <c r="N20" s="16"/>
      <c r="O20" s="13">
        <f>O19/O9-1</f>
        <v>0.25371558508562342</v>
      </c>
      <c r="P20" s="13">
        <f>P19/P9-1</f>
        <v>0.25946533314052189</v>
      </c>
      <c r="Q20" s="13"/>
    </row>
    <row r="21" spans="1:17">
      <c r="A21" s="92">
        <f>lev_wk!B46</f>
        <v>2006</v>
      </c>
      <c r="B21" s="92"/>
      <c r="C21" s="92"/>
      <c r="D21" s="15"/>
      <c r="E21" s="27"/>
      <c r="F21" s="16"/>
      <c r="G21" s="27"/>
      <c r="H21" s="16"/>
      <c r="I21" s="27"/>
      <c r="J21" s="27"/>
      <c r="K21" s="16"/>
      <c r="L21" s="27"/>
      <c r="M21" s="16"/>
      <c r="N21" s="27"/>
      <c r="O21" s="27"/>
      <c r="P21" s="27"/>
      <c r="Q21" s="16"/>
    </row>
    <row r="22" spans="1:17">
      <c r="A22" s="15"/>
      <c r="B22" s="9" t="str">
        <f>lev_wk!C46</f>
        <v>Q1</v>
      </c>
      <c r="C22" s="9" t="s">
        <v>111</v>
      </c>
      <c r="D22" s="15"/>
      <c r="E22" s="68">
        <f>lev_wk!D46</f>
        <v>1.0469820700000001</v>
      </c>
      <c r="F22" s="16">
        <f>E22/O22</f>
        <v>2.6788262225151932E-2</v>
      </c>
      <c r="G22" s="68">
        <f>lev_wk!E46</f>
        <v>0.88873979000000003</v>
      </c>
      <c r="H22" s="16">
        <f>G22/P22</f>
        <v>2.2831890275095745E-2</v>
      </c>
      <c r="I22" s="27"/>
      <c r="J22" s="68">
        <f>lev_wk!F46</f>
        <v>38.036630789999997</v>
      </c>
      <c r="K22" s="16">
        <f>J22/O22</f>
        <v>0.97321173777484815</v>
      </c>
      <c r="L22" s="68">
        <f>lev_wk!G46</f>
        <v>38.036630789999997</v>
      </c>
      <c r="M22" s="16">
        <f>L22/P22</f>
        <v>0.9771681097249042</v>
      </c>
      <c r="N22" s="27"/>
      <c r="O22" s="68">
        <f>E22+J22</f>
        <v>39.083612859999995</v>
      </c>
      <c r="P22" s="68">
        <f>G22+L22</f>
        <v>38.925370579999999</v>
      </c>
      <c r="Q22" s="16">
        <f>P22/O22</f>
        <v>0.99595118597231969</v>
      </c>
    </row>
    <row r="23" spans="1:17">
      <c r="A23" s="9"/>
      <c r="B23" s="9"/>
      <c r="C23" s="9" t="s">
        <v>113</v>
      </c>
      <c r="D23" s="15"/>
      <c r="E23" s="16">
        <f>E22/E11-1</f>
        <v>-0.24052224441808379</v>
      </c>
      <c r="F23" s="16"/>
      <c r="G23" s="16">
        <f>G22/G11-1</f>
        <v>-0.13413349378279771</v>
      </c>
      <c r="H23" s="16"/>
      <c r="I23" s="16"/>
      <c r="J23" s="16">
        <f>J22/J11-1</f>
        <v>5.4696164522222146E-2</v>
      </c>
      <c r="K23" s="16"/>
      <c r="L23" s="16">
        <f>L22/L11-1</f>
        <v>5.4696164522222146E-2</v>
      </c>
      <c r="M23" s="16"/>
      <c r="N23" s="16"/>
      <c r="O23" s="16">
        <f>O22/O11-1</f>
        <v>4.3826869161630588E-2</v>
      </c>
      <c r="P23" s="16">
        <f>P22/P11-1</f>
        <v>4.9470621578540319E-2</v>
      </c>
      <c r="Q23" s="16"/>
    </row>
    <row r="24" spans="1:17">
      <c r="A24" s="9"/>
      <c r="B24" s="9" t="str">
        <f>lev_wk!C51</f>
        <v>Q2</v>
      </c>
      <c r="C24" s="9" t="s">
        <v>111</v>
      </c>
      <c r="D24" s="15"/>
      <c r="E24" s="68">
        <f>lev_wk!D51</f>
        <v>1.1430023499999999</v>
      </c>
      <c r="F24" s="16">
        <f>E24/O24</f>
        <v>3.0690356912412099E-2</v>
      </c>
      <c r="G24" s="68">
        <f>lev_wk!E51</f>
        <v>1.02678797</v>
      </c>
      <c r="H24" s="16">
        <f>G24/P24</f>
        <v>2.7656224542880001E-2</v>
      </c>
      <c r="I24" s="27"/>
      <c r="J24" s="68">
        <f>lev_wk!F51</f>
        <v>36.100042860000002</v>
      </c>
      <c r="K24" s="16">
        <f>J24/O24</f>
        <v>0.96930964308758782</v>
      </c>
      <c r="L24" s="68">
        <f>lev_wk!G51</f>
        <v>36.100042860000002</v>
      </c>
      <c r="M24" s="16">
        <f>L24/P24</f>
        <v>0.97234377545711992</v>
      </c>
      <c r="N24" s="27"/>
      <c r="O24" s="68">
        <f>E24+J24</f>
        <v>37.243045210000005</v>
      </c>
      <c r="P24" s="68">
        <f>G24+L24</f>
        <v>37.126830830000003</v>
      </c>
      <c r="Q24" s="16">
        <f>P24/O24</f>
        <v>0.99687956826986857</v>
      </c>
    </row>
    <row r="25" spans="1:17">
      <c r="A25" s="9"/>
      <c r="B25" s="9"/>
      <c r="C25" s="9" t="s">
        <v>113</v>
      </c>
      <c r="D25" s="15"/>
      <c r="E25" s="16">
        <f>E24/E13-1</f>
        <v>-0.22881243262454065</v>
      </c>
      <c r="F25" s="16"/>
      <c r="G25" s="16">
        <f>G24/G13-1</f>
        <v>-0.10074011234521996</v>
      </c>
      <c r="H25" s="16"/>
      <c r="I25" s="16"/>
      <c r="J25" s="16">
        <f>J24/J13-1</f>
        <v>2.3736156825164834E-3</v>
      </c>
      <c r="K25" s="16"/>
      <c r="L25" s="16">
        <f>L24/L13-1</f>
        <v>2.3736156825164834E-3</v>
      </c>
      <c r="M25" s="16"/>
      <c r="N25" s="16"/>
      <c r="O25" s="16">
        <f>O24/O13-1</f>
        <v>-6.7644817177090477E-3</v>
      </c>
      <c r="P25" s="16">
        <f>P24/P13-1</f>
        <v>-7.9506684611474476E-4</v>
      </c>
      <c r="Q25" s="16"/>
    </row>
    <row r="26" spans="1:17">
      <c r="A26" s="9"/>
      <c r="B26" s="9" t="str">
        <f>lev_wk!C57</f>
        <v>Q3</v>
      </c>
      <c r="C26" s="9" t="s">
        <v>111</v>
      </c>
      <c r="D26" s="15"/>
      <c r="E26" s="68">
        <f>lev_wk!D57</f>
        <v>1.25947141</v>
      </c>
      <c r="F26" s="16">
        <f>E26/O26</f>
        <v>3.4482134301979633E-2</v>
      </c>
      <c r="G26" s="68">
        <f>lev_wk!E57</f>
        <v>1.0909117699999999</v>
      </c>
      <c r="H26" s="16">
        <f>G26/P26</f>
        <v>3.0005737404213018E-2</v>
      </c>
      <c r="I26" s="27"/>
      <c r="J26" s="68">
        <f>lev_wk!F57</f>
        <v>35.265860779999997</v>
      </c>
      <c r="K26" s="16">
        <f>J26/O26</f>
        <v>0.96551786569802023</v>
      </c>
      <c r="L26" s="68">
        <f>lev_wk!G57</f>
        <v>35.265860779999997</v>
      </c>
      <c r="M26" s="16">
        <f>L26/P26</f>
        <v>0.96999426259578703</v>
      </c>
      <c r="N26" s="27"/>
      <c r="O26" s="68">
        <f>E26+J26</f>
        <v>36.52533219</v>
      </c>
      <c r="P26" s="68">
        <f>G26+L26</f>
        <v>36.356772549999995</v>
      </c>
      <c r="Q26" s="16">
        <f>P26/O26</f>
        <v>0.99538513054109456</v>
      </c>
    </row>
    <row r="27" spans="1:17" s="15" customFormat="1">
      <c r="A27" s="9"/>
      <c r="B27" s="9"/>
      <c r="C27" s="9" t="s">
        <v>113</v>
      </c>
      <c r="E27" s="16">
        <f>E26/E15-1</f>
        <v>-5.8889099564012337E-3</v>
      </c>
      <c r="F27" s="16"/>
      <c r="G27" s="16">
        <f>G26/G15-1</f>
        <v>6.302331091715585E-2</v>
      </c>
      <c r="H27" s="16"/>
      <c r="I27" s="16"/>
      <c r="J27" s="16">
        <f>J26/J15-1</f>
        <v>7.3082933058024047E-3</v>
      </c>
      <c r="K27" s="16"/>
      <c r="L27" s="16">
        <f>L26/L15-1</f>
        <v>7.3082933058024047E-3</v>
      </c>
      <c r="M27" s="16"/>
      <c r="N27" s="16"/>
      <c r="O27" s="16">
        <f>O26/O15-1</f>
        <v>6.8473953552781186E-3</v>
      </c>
      <c r="P27" s="16">
        <f>P26/P15-1</f>
        <v>8.8949381733771649E-3</v>
      </c>
      <c r="Q27" s="16"/>
    </row>
    <row r="28" spans="1:17" ht="16.149999999999999" customHeight="1">
      <c r="B28" s="3" t="str">
        <f>lev_wk!C63</f>
        <v>Q4</v>
      </c>
      <c r="C28" s="3" t="s">
        <v>111</v>
      </c>
      <c r="D28" s="15"/>
      <c r="E28" s="68">
        <f>lev_wk!D63</f>
        <v>1.2973138799999999</v>
      </c>
      <c r="F28" s="8">
        <f>E28/O28</f>
        <v>3.4019723566666327E-2</v>
      </c>
      <c r="G28" s="68">
        <f>lev_wk!E63</f>
        <v>1.1477537900000001</v>
      </c>
      <c r="H28" s="8">
        <f>G28/P28</f>
        <v>3.0216285750610503E-2</v>
      </c>
      <c r="I28" s="27"/>
      <c r="J28" s="68">
        <f>lev_wk!F63</f>
        <v>36.836854889999998</v>
      </c>
      <c r="K28" s="8">
        <f>J28/O28</f>
        <v>0.96598027643333373</v>
      </c>
      <c r="L28" s="68">
        <f>lev_wk!G63</f>
        <v>36.836854889999998</v>
      </c>
      <c r="M28" s="8">
        <f>L28/P28</f>
        <v>0.96978371424938947</v>
      </c>
      <c r="N28" s="27"/>
      <c r="O28" s="68">
        <f>E28+J28</f>
        <v>38.134168769999995</v>
      </c>
      <c r="P28" s="68">
        <f>G28+L28</f>
        <v>37.984608680000001</v>
      </c>
      <c r="Q28" s="8">
        <f>P28/O28</f>
        <v>0.9960780555909835</v>
      </c>
    </row>
    <row r="29" spans="1:17" ht="16.149999999999999" customHeight="1">
      <c r="B29" s="4"/>
      <c r="C29" s="4" t="s">
        <v>113</v>
      </c>
      <c r="D29" s="15"/>
      <c r="E29" s="13">
        <f>E28/E17-1</f>
        <v>3.1705317957353429E-2</v>
      </c>
      <c r="F29" s="13"/>
      <c r="G29" s="13">
        <f>G28/G17-1</f>
        <v>0.12627488326988101</v>
      </c>
      <c r="H29" s="13"/>
      <c r="I29" s="27"/>
      <c r="J29" s="13">
        <f>J28/J17-1</f>
        <v>-4.1339189642326413E-2</v>
      </c>
      <c r="K29" s="13"/>
      <c r="L29" s="13">
        <f>L28/L17-1</f>
        <v>-4.1339189642326413E-2</v>
      </c>
      <c r="M29" s="13"/>
      <c r="N29" s="27"/>
      <c r="O29" s="13">
        <f>O28/O17-1</f>
        <v>-3.9024594967499215E-2</v>
      </c>
      <c r="P29" s="13">
        <f>P28/P17-1</f>
        <v>-3.7008774937680511E-2</v>
      </c>
      <c r="Q29" s="13"/>
    </row>
    <row r="30" spans="1:17">
      <c r="B30" s="3" t="s">
        <v>112</v>
      </c>
      <c r="C30" s="3" t="s">
        <v>111</v>
      </c>
      <c r="D30" s="15"/>
      <c r="E30" s="68">
        <f>E26+E24+E22+E28</f>
        <v>4.7467697099999997</v>
      </c>
      <c r="F30" s="8">
        <f>E30/O30</f>
        <v>3.1438442705578371E-2</v>
      </c>
      <c r="G30" s="68">
        <f>G26+G24+G22+G28</f>
        <v>4.1541933200000001</v>
      </c>
      <c r="H30" s="8">
        <f>G30/P30</f>
        <v>2.7622144822122975E-2</v>
      </c>
      <c r="I30" s="27"/>
      <c r="J30" s="68">
        <f>J26+J24+J22+J28</f>
        <v>146.23938931999999</v>
      </c>
      <c r="K30" s="8">
        <f>J30/O30</f>
        <v>0.9685615572944215</v>
      </c>
      <c r="L30" s="68">
        <f>L26+L24+L22+L28</f>
        <v>146.23938931999999</v>
      </c>
      <c r="M30" s="8">
        <f>L30/P30</f>
        <v>0.97237785517787689</v>
      </c>
      <c r="N30" s="27"/>
      <c r="O30" s="68">
        <f>O26+O24+O22+O28</f>
        <v>150.98615903000001</v>
      </c>
      <c r="P30" s="68">
        <f>P26+P24+P22+P28</f>
        <v>150.39358264000001</v>
      </c>
      <c r="Q30" s="8">
        <f>P30/O30</f>
        <v>0.99607529329968414</v>
      </c>
    </row>
    <row r="31" spans="1:17">
      <c r="A31" s="4"/>
      <c r="B31" s="4"/>
      <c r="C31" s="4" t="s">
        <v>113</v>
      </c>
      <c r="D31" s="15"/>
      <c r="E31" s="13">
        <f>E30/E19-1</f>
        <v>-0.11853089225766356</v>
      </c>
      <c r="F31" s="13"/>
      <c r="G31" s="13">
        <f>G30/G19-1</f>
        <v>-1.4084034654667232E-2</v>
      </c>
      <c r="H31" s="13"/>
      <c r="I31" s="16"/>
      <c r="J31" s="13">
        <f>J30/J19-1</f>
        <v>4.9853791637013423E-3</v>
      </c>
      <c r="K31" s="13"/>
      <c r="L31" s="13">
        <f>L30/L19-1</f>
        <v>4.9853791637013423E-3</v>
      </c>
      <c r="M31" s="13"/>
      <c r="N31" s="16"/>
      <c r="O31" s="13">
        <f>O30/O19-1</f>
        <v>5.77508546570904E-4</v>
      </c>
      <c r="P31" s="13">
        <f>P30/P19-1</f>
        <v>4.4487396837715742E-3</v>
      </c>
      <c r="Q31" s="13"/>
    </row>
    <row r="32" spans="1:17">
      <c r="A32" s="34" t="str">
        <f>說明!B18</f>
        <v>1.</v>
      </c>
      <c r="B32" s="34" t="str">
        <f>說明!C18</f>
        <v>資料來源：總額各案件核定醫療費用分攤明細(PHFB_DECIDE_DIST)</v>
      </c>
      <c r="E32" s="7"/>
      <c r="F32" s="8"/>
      <c r="G32" s="7"/>
      <c r="H32" s="8"/>
      <c r="J32" s="7"/>
      <c r="K32" s="8"/>
      <c r="L32" s="7"/>
      <c r="M32" s="8"/>
      <c r="O32" s="7"/>
      <c r="P32" s="7"/>
      <c r="Q32" s="8"/>
    </row>
    <row r="33" spans="1:17">
      <c r="A33" s="34" t="str">
        <f>說明!B19</f>
        <v>2.</v>
      </c>
      <c r="B33" s="34" t="str">
        <f>說明!C19</f>
        <v>資料處理：</v>
      </c>
      <c r="E33" s="7"/>
      <c r="F33" s="8"/>
      <c r="G33" s="7"/>
      <c r="H33" s="8"/>
      <c r="J33" s="7"/>
      <c r="K33" s="8"/>
      <c r="L33" s="7"/>
      <c r="M33" s="8"/>
      <c r="O33" s="7"/>
      <c r="P33" s="7"/>
      <c r="Q33" s="8"/>
    </row>
    <row r="34" spans="1:17">
      <c r="A34" s="34"/>
      <c r="B34" s="34" t="str">
        <f>說明!C20</f>
        <v>※本表僅含當季核定之送核、補報資料</v>
      </c>
      <c r="E34" s="7"/>
      <c r="F34" s="8"/>
      <c r="G34" s="7"/>
      <c r="H34" s="8"/>
      <c r="J34" s="7"/>
      <c r="K34" s="8"/>
      <c r="L34" s="7"/>
      <c r="M34" s="8"/>
      <c r="O34" s="7"/>
      <c r="P34" s="7"/>
      <c r="Q34" s="8"/>
    </row>
    <row r="35" spans="1:17">
      <c r="A35" s="34"/>
      <c r="B35" s="34" t="str">
        <f>說明!C21</f>
        <v>※本表不含申複、爭議審議等之核定醫療點數及費用</v>
      </c>
      <c r="E35" s="7"/>
      <c r="F35" s="8"/>
      <c r="G35" s="7"/>
      <c r="H35" s="8"/>
      <c r="J35" s="7"/>
      <c r="K35" s="8"/>
      <c r="L35" s="7"/>
      <c r="M35" s="8"/>
      <c r="O35" s="7"/>
      <c r="P35" s="7"/>
      <c r="Q35" s="8"/>
    </row>
    <row r="36" spans="1:17">
      <c r="A36" s="34"/>
      <c r="B36" s="34" t="str">
        <f>說明!C22</f>
        <v>※本表不含代辦、總額外及追扣、補付付款之項目</v>
      </c>
      <c r="E36" s="7"/>
      <c r="F36" s="8"/>
      <c r="G36" s="7"/>
      <c r="H36" s="8"/>
      <c r="J36" s="7"/>
      <c r="K36" s="8"/>
      <c r="L36" s="7"/>
      <c r="M36" s="8"/>
      <c r="O36" s="7"/>
      <c r="P36" s="7"/>
      <c r="Q36" s="8"/>
    </row>
    <row r="37" spans="1:17">
      <c r="A37" s="34"/>
      <c r="B37" s="34" t="str">
        <f>說明!C23</f>
        <v>※本表所謂浮動點值部分係指各總額別中一般部門預算之浮動點值部份</v>
      </c>
      <c r="E37" s="7"/>
      <c r="F37" s="8"/>
      <c r="G37" s="7"/>
      <c r="H37" s="8"/>
      <c r="J37" s="7"/>
      <c r="K37" s="8"/>
      <c r="L37" s="7"/>
      <c r="M37" s="8"/>
      <c r="O37" s="7"/>
      <c r="P37" s="7"/>
      <c r="Q37" s="8"/>
    </row>
    <row r="38" spans="1:17">
      <c r="A38" s="34"/>
      <c r="B38" s="34" t="str">
        <f>說明!C24</f>
        <v>※本表所謂固定點值部分係指各總額別中一般部門預算之非浮動點值及專款部份</v>
      </c>
    </row>
    <row r="39" spans="1:17">
      <c r="A39" s="34"/>
      <c r="B39" s="34" t="str">
        <f>說明!C25</f>
        <v>※層級別中不含處方釋出之醫療點數及費用</v>
      </c>
    </row>
    <row r="40" spans="1:17">
      <c r="A40" s="34"/>
      <c r="B40" s="34"/>
    </row>
    <row r="41" spans="1:17">
      <c r="A41" s="34"/>
      <c r="B41" s="34"/>
    </row>
    <row r="42" spans="1:17">
      <c r="A42" s="34"/>
      <c r="B42" s="34"/>
    </row>
  </sheetData>
  <mergeCells count="7">
    <mergeCell ref="A21:C21"/>
    <mergeCell ref="A4:C4"/>
    <mergeCell ref="A10:C10"/>
    <mergeCell ref="A1:Q1"/>
    <mergeCell ref="E2:H2"/>
    <mergeCell ref="J2:M2"/>
    <mergeCell ref="O2:Q2"/>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15"/>
  <dimension ref="A1:G46"/>
  <sheetViews>
    <sheetView zoomScale="75" workbookViewId="0">
      <selection activeCell="I20" sqref="I20"/>
    </sheetView>
  </sheetViews>
  <sheetFormatPr defaultColWidth="8.875" defaultRowHeight="15"/>
  <cols>
    <col min="1" max="1" width="1.875" style="14" customWidth="1"/>
    <col min="2" max="2" width="17.5" style="14" customWidth="1"/>
    <col min="3" max="3" width="12.875" style="14" customWidth="1"/>
    <col min="4" max="4" width="17.25" style="14" bestFit="1" customWidth="1"/>
    <col min="5" max="7" width="15.5" style="14" customWidth="1"/>
    <col min="8" max="16384" width="8.875" style="14"/>
  </cols>
  <sheetData>
    <row r="1" spans="1:7" ht="17.25">
      <c r="A1" s="1"/>
      <c r="B1" s="48" t="s">
        <v>0</v>
      </c>
      <c r="C1" s="47" t="s">
        <v>1</v>
      </c>
      <c r="D1" s="48" t="s">
        <v>2</v>
      </c>
      <c r="E1" s="48" t="s">
        <v>3</v>
      </c>
      <c r="F1" s="48" t="s">
        <v>4</v>
      </c>
      <c r="G1" s="48" t="s">
        <v>5</v>
      </c>
    </row>
    <row r="2" spans="1:7">
      <c r="A2" s="18"/>
      <c r="B2" s="50">
        <v>2004</v>
      </c>
      <c r="C2" s="49" t="s">
        <v>6</v>
      </c>
      <c r="D2" s="50">
        <f>72643207963/100000000</f>
        <v>726.43207962999998</v>
      </c>
      <c r="E2" s="50">
        <f>63532871831/100000000</f>
        <v>635.32871831</v>
      </c>
      <c r="F2" s="50">
        <f>28647080199/100000000</f>
        <v>286.47080198999998</v>
      </c>
      <c r="G2" s="50">
        <f>28652234576/100000000</f>
        <v>286.52234576000001</v>
      </c>
    </row>
    <row r="3" spans="1:7">
      <c r="A3" s="18"/>
      <c r="B3" s="50">
        <v>2004</v>
      </c>
      <c r="C3" s="49" t="s">
        <v>7</v>
      </c>
      <c r="D3" s="50">
        <f>76679539982/100000000</f>
        <v>766.79539981999994</v>
      </c>
      <c r="E3" s="50">
        <f>66929511737/100000000</f>
        <v>669.29511736999996</v>
      </c>
      <c r="F3" s="50">
        <f>29508308684/100000000</f>
        <v>295.08308684000002</v>
      </c>
      <c r="G3" s="50">
        <f>29514604983/100000000</f>
        <v>295.14604982999998</v>
      </c>
    </row>
    <row r="4" spans="1:7">
      <c r="A4" s="18"/>
      <c r="B4" s="50">
        <v>2004</v>
      </c>
      <c r="C4" s="49" t="s">
        <v>8</v>
      </c>
      <c r="D4" s="50">
        <f>78591081834/100000000</f>
        <v>785.91081833999999</v>
      </c>
      <c r="E4" s="50">
        <f>69491032289/100000000</f>
        <v>694.91032288999997</v>
      </c>
      <c r="F4" s="50">
        <f>28569796908/100000000</f>
        <v>285.69796908000001</v>
      </c>
      <c r="G4" s="50">
        <f>28584540686/100000000</f>
        <v>285.84540686000003</v>
      </c>
    </row>
    <row r="5" spans="1:7">
      <c r="A5" s="18"/>
      <c r="B5" s="50">
        <v>2004</v>
      </c>
      <c r="C5" s="49" t="s">
        <v>9</v>
      </c>
      <c r="D5" s="50">
        <f>81060680189/100000000</f>
        <v>810.60680189000004</v>
      </c>
      <c r="E5" s="50">
        <f>70252921917/100000000</f>
        <v>702.52921917000003</v>
      </c>
      <c r="F5" s="50">
        <f>30088176394/100000000</f>
        <v>300.88176393999998</v>
      </c>
      <c r="G5" s="50">
        <f>30105550033/100000000</f>
        <v>301.05550032999997</v>
      </c>
    </row>
    <row r="6" spans="1:7">
      <c r="A6" s="18"/>
      <c r="B6" s="50">
        <v>2005</v>
      </c>
      <c r="C6" s="49" t="s">
        <v>6</v>
      </c>
      <c r="D6" s="50">
        <f>70089973139/100000000</f>
        <v>700.89973139000006</v>
      </c>
      <c r="E6" s="50">
        <f>58984700526/100000000</f>
        <v>589.84700525999995</v>
      </c>
      <c r="F6" s="50">
        <f>36492152864/100000000</f>
        <v>364.92152864000002</v>
      </c>
      <c r="G6" s="50">
        <f>36505620656/100000000</f>
        <v>365.05620656000002</v>
      </c>
    </row>
    <row r="7" spans="1:7">
      <c r="A7" s="18"/>
      <c r="B7" s="50">
        <v>2005</v>
      </c>
      <c r="C7" s="49" t="s">
        <v>7</v>
      </c>
      <c r="D7" s="50">
        <f>73408909636/100000000</f>
        <v>734.08909635999998</v>
      </c>
      <c r="E7" s="50">
        <f>63576577461/100000000</f>
        <v>635.76577460999999</v>
      </c>
      <c r="F7" s="50">
        <f>37260904405/100000000</f>
        <v>372.60904405000002</v>
      </c>
      <c r="G7" s="50">
        <f>37275944768/100000000</f>
        <v>372.75944767999999</v>
      </c>
    </row>
    <row r="8" spans="1:7">
      <c r="A8" s="18"/>
      <c r="B8" s="50">
        <v>2005</v>
      </c>
      <c r="C8" s="49" t="s">
        <v>8</v>
      </c>
      <c r="D8" s="50">
        <f>71905591892/100000000</f>
        <v>719.05591891999995</v>
      </c>
      <c r="E8" s="50">
        <f>62760078880/100000000</f>
        <v>627.60078880000003</v>
      </c>
      <c r="F8" s="50">
        <f>36689681445/100000000</f>
        <v>366.89681445000002</v>
      </c>
      <c r="G8" s="50">
        <f>36708684894/100000000</f>
        <v>367.08684893999998</v>
      </c>
    </row>
    <row r="9" spans="1:7">
      <c r="A9" s="18"/>
      <c r="B9" s="50">
        <v>2005</v>
      </c>
      <c r="C9" s="49" t="s">
        <v>9</v>
      </c>
      <c r="D9" s="50">
        <f>72639908043/100000000</f>
        <v>726.39908043000003</v>
      </c>
      <c r="E9" s="50">
        <f>63616168108/100000000</f>
        <v>636.16168107999999</v>
      </c>
      <c r="F9" s="67">
        <f>37276962900/100000000</f>
        <v>372.76962900000001</v>
      </c>
      <c r="G9" s="50">
        <f>37297048813/100000000</f>
        <v>372.97048812999998</v>
      </c>
    </row>
    <row r="10" spans="1:7" ht="15.75" thickBot="1">
      <c r="A10" s="18"/>
      <c r="B10" s="60">
        <v>2006</v>
      </c>
      <c r="C10" s="61" t="s">
        <v>6</v>
      </c>
      <c r="D10" s="61">
        <f>69658776993/100000000</f>
        <v>696.58776993000004</v>
      </c>
      <c r="E10" s="61">
        <f>62507487415/100000000</f>
        <v>625.07487415000003</v>
      </c>
      <c r="F10" s="61">
        <f>36256713361/100000000</f>
        <v>362.56713360999998</v>
      </c>
      <c r="G10" s="62">
        <f>36260619509/100000000</f>
        <v>362.60619509000003</v>
      </c>
    </row>
    <row r="11" spans="1:7" ht="15.75" thickBot="1">
      <c r="A11" s="18"/>
      <c r="B11" s="60">
        <v>2006</v>
      </c>
      <c r="C11" s="61" t="s">
        <v>7</v>
      </c>
      <c r="D11" s="61">
        <v>727.84374337999998</v>
      </c>
      <c r="E11" s="61">
        <v>669.37365700999999</v>
      </c>
      <c r="F11" s="61">
        <v>378.52683166999998</v>
      </c>
      <c r="G11" s="62">
        <v>377.60645142999999</v>
      </c>
    </row>
    <row r="12" spans="1:7" ht="15.75" thickBot="1">
      <c r="A12" s="18"/>
      <c r="B12" s="60">
        <v>2006</v>
      </c>
      <c r="C12" s="61" t="s">
        <v>8</v>
      </c>
      <c r="D12" s="61">
        <v>724.90989058000002</v>
      </c>
      <c r="E12" s="61">
        <v>653.69016843999998</v>
      </c>
      <c r="F12" s="61">
        <v>381.06275104000002</v>
      </c>
      <c r="G12" s="62">
        <v>380.02932655000001</v>
      </c>
    </row>
    <row r="13" spans="1:7" ht="15.75" thickBot="1">
      <c r="A13" s="18"/>
      <c r="B13" s="60">
        <v>2006</v>
      </c>
      <c r="C13" s="61" t="s">
        <v>9</v>
      </c>
      <c r="D13" s="61">
        <v>738.23144494999997</v>
      </c>
      <c r="E13" s="61">
        <v>680.83005555</v>
      </c>
      <c r="F13" s="61">
        <v>381.95460344000003</v>
      </c>
      <c r="G13" s="62">
        <v>380.93072920999998</v>
      </c>
    </row>
    <row r="14" spans="1:7">
      <c r="A14" s="18"/>
      <c r="B14" s="52"/>
      <c r="C14" s="53"/>
      <c r="D14" s="52"/>
      <c r="E14" s="52"/>
      <c r="F14" s="52"/>
      <c r="G14" s="52"/>
    </row>
    <row r="15" spans="1:7">
      <c r="A15" s="18"/>
      <c r="B15" s="52"/>
      <c r="C15" s="53"/>
      <c r="D15" s="52"/>
      <c r="E15" s="52"/>
      <c r="F15" s="52"/>
      <c r="G15" s="52"/>
    </row>
    <row r="16" spans="1:7">
      <c r="A16" s="18"/>
      <c r="B16" s="52"/>
      <c r="C16" s="53"/>
      <c r="D16" s="52"/>
      <c r="E16" s="52"/>
      <c r="F16" s="52"/>
      <c r="G16" s="52"/>
    </row>
    <row r="17" spans="1:7">
      <c r="A17" s="18"/>
      <c r="B17" s="52"/>
      <c r="C17" s="53"/>
      <c r="D17" s="54"/>
      <c r="E17" s="52"/>
      <c r="F17" s="52"/>
      <c r="G17" s="52"/>
    </row>
    <row r="18" spans="1:7">
      <c r="A18" s="18"/>
      <c r="B18" s="55"/>
      <c r="C18" s="55"/>
      <c r="D18" s="55"/>
      <c r="E18" s="55"/>
      <c r="F18" s="55"/>
      <c r="G18" s="56"/>
    </row>
    <row r="19" spans="1:7">
      <c r="A19" s="18"/>
      <c r="B19" s="19"/>
      <c r="C19" s="19"/>
      <c r="D19" s="19"/>
      <c r="E19" s="19"/>
      <c r="F19" s="19"/>
      <c r="G19" s="20"/>
    </row>
    <row r="20" spans="1:7">
      <c r="A20" s="18"/>
      <c r="B20" s="19"/>
      <c r="C20" s="19"/>
      <c r="D20" s="19"/>
      <c r="E20" s="19"/>
      <c r="F20" s="19"/>
      <c r="G20" s="20"/>
    </row>
    <row r="21" spans="1:7">
      <c r="A21" s="18"/>
      <c r="B21" s="19"/>
      <c r="C21" s="19"/>
      <c r="D21" s="19"/>
      <c r="E21" s="19"/>
      <c r="F21" s="19"/>
      <c r="G21" s="20"/>
    </row>
    <row r="22" spans="1:7">
      <c r="A22" s="18"/>
      <c r="B22" s="19"/>
      <c r="C22" s="19"/>
      <c r="D22" s="19"/>
      <c r="E22" s="19"/>
      <c r="F22" s="19"/>
      <c r="G22" s="20"/>
    </row>
    <row r="23" spans="1:7">
      <c r="A23" s="18"/>
      <c r="B23" s="19"/>
      <c r="C23" s="19"/>
      <c r="D23" s="19"/>
      <c r="E23" s="19"/>
      <c r="F23" s="19"/>
      <c r="G23" s="20"/>
    </row>
    <row r="24" spans="1:7">
      <c r="A24" s="18"/>
      <c r="B24" s="19"/>
      <c r="C24" s="19"/>
      <c r="D24" s="19"/>
      <c r="E24" s="19"/>
      <c r="F24" s="19"/>
      <c r="G24" s="20"/>
    </row>
    <row r="25" spans="1:7">
      <c r="A25" s="18"/>
      <c r="B25" s="19"/>
      <c r="C25" s="19"/>
      <c r="D25" s="19"/>
      <c r="E25" s="19"/>
      <c r="F25" s="19"/>
      <c r="G25" s="20"/>
    </row>
    <row r="26" spans="1:7">
      <c r="A26" s="18"/>
      <c r="B26" s="19"/>
      <c r="C26" s="19"/>
      <c r="D26" s="19"/>
      <c r="E26" s="19"/>
      <c r="F26" s="19"/>
      <c r="G26" s="20"/>
    </row>
    <row r="27" spans="1:7">
      <c r="A27" s="18"/>
      <c r="B27" s="19"/>
      <c r="C27" s="19"/>
      <c r="D27" s="19"/>
      <c r="E27" s="19"/>
      <c r="F27" s="19"/>
      <c r="G27" s="20"/>
    </row>
    <row r="28" spans="1:7">
      <c r="A28" s="18"/>
      <c r="B28" s="19"/>
      <c r="C28" s="19"/>
      <c r="D28" s="19"/>
      <c r="E28" s="19"/>
      <c r="F28" s="19"/>
      <c r="G28" s="20"/>
    </row>
    <row r="29" spans="1:7">
      <c r="A29" s="18"/>
      <c r="B29" s="19"/>
      <c r="C29" s="19"/>
      <c r="D29" s="19"/>
      <c r="E29" s="19"/>
      <c r="F29" s="19"/>
      <c r="G29" s="20"/>
    </row>
    <row r="30" spans="1:7">
      <c r="A30" s="18"/>
      <c r="B30" s="19"/>
      <c r="C30" s="19"/>
      <c r="D30" s="19"/>
      <c r="E30" s="19"/>
      <c r="F30" s="19"/>
      <c r="G30" s="20"/>
    </row>
    <row r="31" spans="1:7">
      <c r="A31" s="18"/>
      <c r="B31" s="19"/>
      <c r="C31" s="19"/>
      <c r="D31" s="19"/>
      <c r="E31" s="19"/>
      <c r="F31" s="19"/>
      <c r="G31" s="20"/>
    </row>
    <row r="32" spans="1:7">
      <c r="A32" s="18"/>
      <c r="B32" s="19"/>
      <c r="C32" s="19"/>
      <c r="D32" s="19"/>
      <c r="E32" s="19"/>
      <c r="F32" s="19"/>
      <c r="G32" s="20"/>
    </row>
    <row r="33" spans="1:7">
      <c r="A33" s="18"/>
      <c r="B33" s="19"/>
      <c r="C33" s="19"/>
      <c r="D33" s="19"/>
      <c r="E33" s="19"/>
      <c r="F33" s="19"/>
      <c r="G33" s="20"/>
    </row>
    <row r="34" spans="1:7">
      <c r="A34" s="18"/>
      <c r="B34" s="19"/>
      <c r="C34" s="19"/>
      <c r="D34" s="19"/>
      <c r="E34" s="19"/>
      <c r="F34" s="19"/>
      <c r="G34" s="20"/>
    </row>
    <row r="35" spans="1:7">
      <c r="A35" s="18"/>
      <c r="B35" s="19"/>
      <c r="C35" s="19"/>
      <c r="D35" s="19"/>
      <c r="E35" s="19"/>
      <c r="F35" s="19"/>
      <c r="G35" s="20"/>
    </row>
    <row r="36" spans="1:7">
      <c r="A36" s="18"/>
      <c r="B36" s="19"/>
      <c r="C36" s="19"/>
      <c r="D36" s="19"/>
      <c r="E36" s="19"/>
      <c r="F36" s="19"/>
      <c r="G36" s="20"/>
    </row>
    <row r="37" spans="1:7">
      <c r="A37" s="18"/>
      <c r="B37" s="19"/>
      <c r="C37" s="19"/>
      <c r="D37" s="19"/>
      <c r="E37" s="19"/>
      <c r="F37" s="19"/>
      <c r="G37" s="20"/>
    </row>
    <row r="38" spans="1:7">
      <c r="A38" s="18"/>
      <c r="B38" s="19"/>
      <c r="C38" s="19"/>
      <c r="D38" s="19"/>
      <c r="E38" s="19"/>
      <c r="F38" s="19"/>
      <c r="G38" s="20"/>
    </row>
    <row r="39" spans="1:7">
      <c r="A39" s="18"/>
      <c r="B39" s="19"/>
      <c r="C39" s="19"/>
      <c r="D39" s="19"/>
      <c r="E39" s="19"/>
      <c r="F39" s="19"/>
      <c r="G39" s="20"/>
    </row>
    <row r="40" spans="1:7">
      <c r="A40" s="18"/>
      <c r="B40" s="19"/>
      <c r="C40" s="19"/>
      <c r="D40" s="19"/>
      <c r="E40" s="19"/>
      <c r="F40" s="19"/>
      <c r="G40" s="20"/>
    </row>
    <row r="41" spans="1:7">
      <c r="A41" s="18"/>
      <c r="B41" s="19"/>
      <c r="C41" s="19"/>
      <c r="D41" s="19"/>
      <c r="E41" s="19"/>
      <c r="F41" s="19"/>
      <c r="G41" s="20"/>
    </row>
    <row r="42" spans="1:7">
      <c r="A42" s="18"/>
      <c r="B42" s="19"/>
      <c r="C42" s="19"/>
      <c r="D42" s="19"/>
      <c r="E42" s="19"/>
      <c r="F42" s="19"/>
      <c r="G42" s="20"/>
    </row>
    <row r="43" spans="1:7">
      <c r="A43" s="18"/>
      <c r="B43" s="19"/>
      <c r="C43" s="19"/>
      <c r="D43" s="19"/>
      <c r="E43" s="19"/>
      <c r="F43" s="19"/>
      <c r="G43" s="20"/>
    </row>
    <row r="44" spans="1:7">
      <c r="A44" s="18"/>
      <c r="B44" s="19"/>
      <c r="C44" s="19"/>
      <c r="D44" s="19"/>
      <c r="E44" s="19"/>
      <c r="F44" s="19"/>
      <c r="G44" s="20"/>
    </row>
    <row r="45" spans="1:7">
      <c r="A45" s="18"/>
      <c r="B45" s="19"/>
      <c r="C45" s="19"/>
      <c r="D45" s="19"/>
      <c r="E45" s="19"/>
      <c r="F45" s="19"/>
      <c r="G45" s="20"/>
    </row>
    <row r="46" spans="1:7" ht="15.75" thickBot="1">
      <c r="A46" s="21"/>
      <c r="B46" s="22"/>
      <c r="C46" s="22"/>
      <c r="D46" s="22"/>
      <c r="E46" s="22"/>
      <c r="F46" s="22"/>
      <c r="G46" s="23"/>
    </row>
  </sheetData>
  <phoneticPr fontId="5" type="noConversion"/>
  <printOptions horizontalCentered="1"/>
  <pageMargins left="0.35433070866141736" right="0.35433070866141736"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21">
    <pageSetUpPr fitToPage="1"/>
  </sheetPr>
  <dimension ref="A1:R44"/>
  <sheetViews>
    <sheetView showGridLines="0" zoomScale="75" workbookViewId="0">
      <pane ySplit="3" topLeftCell="A4" activePane="bottomLeft" state="frozen"/>
      <selection sqref="A1:D1"/>
      <selection pane="bottomLeft" activeCell="R1" sqref="R1"/>
    </sheetView>
  </sheetViews>
  <sheetFormatPr defaultColWidth="8.875" defaultRowHeight="16.5"/>
  <cols>
    <col min="1" max="1" width="3.625" style="3" customWidth="1"/>
    <col min="2" max="2" width="4.125" style="3" customWidth="1"/>
    <col min="3" max="3" width="6" style="3" bestFit="1" customWidth="1"/>
    <col min="4" max="4" width="2.125" style="15" customWidth="1"/>
    <col min="5" max="5" width="12.375" style="3" customWidth="1"/>
    <col min="6" max="6" width="11.5" style="3" bestFit="1" customWidth="1"/>
    <col min="7" max="7" width="12.25" style="3" customWidth="1"/>
    <col min="8" max="8" width="11.5" style="3" bestFit="1" customWidth="1"/>
    <col min="9" max="9" width="1.875" style="9" customWidth="1"/>
    <col min="10" max="10" width="12.625" style="3" customWidth="1"/>
    <col min="11" max="11" width="11.5" style="3" bestFit="1" customWidth="1"/>
    <col min="12" max="12" width="12.375" style="3" customWidth="1"/>
    <col min="13" max="13" width="11.5" style="3" bestFit="1" customWidth="1"/>
    <col min="14" max="14" width="2.25" style="9" customWidth="1"/>
    <col min="15" max="15" width="12.625" style="3" customWidth="1"/>
    <col min="16" max="16" width="12.5" style="3" customWidth="1"/>
    <col min="17" max="17" width="11.125" style="3" customWidth="1"/>
    <col min="18" max="19" width="8.875" style="2" customWidth="1"/>
    <col min="20" max="20" width="12.875" style="2" customWidth="1"/>
    <col min="21" max="16384" width="8.875" style="2"/>
  </cols>
  <sheetData>
    <row r="1" spans="1:18" s="17" customFormat="1" ht="34.9" customHeight="1">
      <c r="A1" s="89" t="s">
        <v>199</v>
      </c>
      <c r="B1" s="89"/>
      <c r="C1" s="89"/>
      <c r="D1" s="89"/>
      <c r="E1" s="89"/>
      <c r="F1" s="89"/>
      <c r="G1" s="89"/>
      <c r="H1" s="89"/>
      <c r="I1" s="89"/>
      <c r="J1" s="89"/>
      <c r="K1" s="89"/>
      <c r="L1" s="89"/>
      <c r="M1" s="89"/>
      <c r="N1" s="89"/>
      <c r="O1" s="89"/>
      <c r="P1" s="89"/>
      <c r="Q1" s="89"/>
      <c r="R1" s="82"/>
    </row>
    <row r="2" spans="1:18" s="3" customFormat="1">
      <c r="D2" s="9"/>
      <c r="E2" s="90" t="s">
        <v>72</v>
      </c>
      <c r="F2" s="90"/>
      <c r="G2" s="90"/>
      <c r="H2" s="90"/>
      <c r="I2" s="9"/>
      <c r="J2" s="90" t="s">
        <v>73</v>
      </c>
      <c r="K2" s="90"/>
      <c r="L2" s="90"/>
      <c r="M2" s="90"/>
      <c r="N2" s="9"/>
      <c r="O2" s="90" t="s">
        <v>74</v>
      </c>
      <c r="P2" s="90"/>
      <c r="Q2" s="90"/>
    </row>
    <row r="3" spans="1:18" s="3" customFormat="1" ht="33">
      <c r="A3" s="4" t="s">
        <v>75</v>
      </c>
      <c r="B3" s="4" t="s">
        <v>76</v>
      </c>
      <c r="C3" s="4" t="s">
        <v>77</v>
      </c>
      <c r="D3" s="9"/>
      <c r="E3" s="5" t="s">
        <v>218</v>
      </c>
      <c r="F3" s="6" t="s">
        <v>78</v>
      </c>
      <c r="G3" s="35" t="s">
        <v>219</v>
      </c>
      <c r="H3" s="6" t="s">
        <v>78</v>
      </c>
      <c r="I3" s="9"/>
      <c r="J3" s="5" t="s">
        <v>218</v>
      </c>
      <c r="K3" s="6" t="s">
        <v>78</v>
      </c>
      <c r="L3" s="35" t="s">
        <v>219</v>
      </c>
      <c r="M3" s="6" t="s">
        <v>78</v>
      </c>
      <c r="N3" s="9"/>
      <c r="O3" s="5" t="s">
        <v>220</v>
      </c>
      <c r="P3" s="35" t="s">
        <v>221</v>
      </c>
      <c r="Q3" s="35" t="s">
        <v>216</v>
      </c>
    </row>
    <row r="4" spans="1:18" s="3" customFormat="1">
      <c r="A4" s="88">
        <f>tot_wk!B2</f>
        <v>2004</v>
      </c>
      <c r="B4" s="88"/>
      <c r="C4" s="88"/>
      <c r="D4" s="9"/>
      <c r="E4" s="10"/>
      <c r="F4" s="9"/>
      <c r="G4" s="9"/>
      <c r="H4" s="9"/>
      <c r="I4" s="9"/>
      <c r="J4" s="10"/>
      <c r="K4" s="9"/>
      <c r="L4" s="9"/>
      <c r="M4" s="9"/>
      <c r="N4" s="9"/>
      <c r="O4" s="10"/>
      <c r="P4" s="9"/>
      <c r="Q4" s="9"/>
    </row>
    <row r="5" spans="1:18">
      <c r="A5" s="2"/>
      <c r="B5" s="3" t="str">
        <f>tot_wk!C2</f>
        <v>Q1</v>
      </c>
      <c r="C5" s="3" t="s">
        <v>79</v>
      </c>
      <c r="E5" s="65">
        <f>tot_wk!D2</f>
        <v>726.43207962999998</v>
      </c>
      <c r="F5" s="8">
        <f>E5/O5</f>
        <v>0.71717841148617423</v>
      </c>
      <c r="G5" s="65">
        <f>tot_wk!E2</f>
        <v>635.32871831</v>
      </c>
      <c r="H5" s="8">
        <f>G5/P5</f>
        <v>0.68918802946867008</v>
      </c>
      <c r="I5" s="16"/>
      <c r="J5" s="65">
        <f>tot_wk!F2</f>
        <v>286.47080198999998</v>
      </c>
      <c r="K5" s="8">
        <f>J5/O5</f>
        <v>0.28282158851382572</v>
      </c>
      <c r="L5" s="65">
        <f>tot_wk!G2</f>
        <v>286.52234576000001</v>
      </c>
      <c r="M5" s="8">
        <f>L5/P5</f>
        <v>0.31081197053132997</v>
      </c>
      <c r="N5" s="16"/>
      <c r="O5" s="65">
        <f>E5+J5</f>
        <v>1012.90288162</v>
      </c>
      <c r="P5" s="65">
        <f>G5+L5</f>
        <v>921.85106407000001</v>
      </c>
      <c r="Q5" s="8">
        <f>P5/O5</f>
        <v>0.91010804766951092</v>
      </c>
    </row>
    <row r="6" spans="1:18">
      <c r="B6" s="3" t="str">
        <f>tot_wk!C3</f>
        <v>Q2</v>
      </c>
      <c r="C6" s="3" t="s">
        <v>79</v>
      </c>
      <c r="E6" s="65">
        <f>tot_wk!D3</f>
        <v>766.79539981999994</v>
      </c>
      <c r="F6" s="8">
        <f>E6/O6</f>
        <v>0.7221121902863431</v>
      </c>
      <c r="G6" s="65">
        <f>tot_wk!E3</f>
        <v>669.29511736999996</v>
      </c>
      <c r="H6" s="8">
        <f>G6/P6</f>
        <v>0.6939719499045458</v>
      </c>
      <c r="I6" s="27"/>
      <c r="J6" s="65">
        <f>tot_wk!F3</f>
        <v>295.08308684000002</v>
      </c>
      <c r="K6" s="8">
        <f>J6/O6</f>
        <v>0.2778878097136569</v>
      </c>
      <c r="L6" s="65">
        <f>tot_wk!G3</f>
        <v>295.14604982999998</v>
      </c>
      <c r="M6" s="8">
        <f>L6/P6</f>
        <v>0.30602805009545431</v>
      </c>
      <c r="N6" s="27"/>
      <c r="O6" s="65">
        <f>E6+J6</f>
        <v>1061.8784866599999</v>
      </c>
      <c r="P6" s="65">
        <f>G6+L6</f>
        <v>964.44116719999988</v>
      </c>
      <c r="Q6" s="8">
        <f>P6/O6</f>
        <v>0.90824061257095778</v>
      </c>
    </row>
    <row r="7" spans="1:18">
      <c r="B7" s="3" t="str">
        <f>tot_wk!C4</f>
        <v>Q3</v>
      </c>
      <c r="C7" s="3" t="s">
        <v>79</v>
      </c>
      <c r="E7" s="65">
        <f>tot_wk!D4</f>
        <v>785.91081833999999</v>
      </c>
      <c r="F7" s="8">
        <f>E7/O7</f>
        <v>0.73339340584557444</v>
      </c>
      <c r="G7" s="65">
        <f>tot_wk!E4</f>
        <v>694.91032288999997</v>
      </c>
      <c r="H7" s="8">
        <f>G7/P7</f>
        <v>0.70854576915613476</v>
      </c>
      <c r="I7" s="27"/>
      <c r="J7" s="65">
        <f>tot_wk!F4</f>
        <v>285.69796908000001</v>
      </c>
      <c r="K7" s="8">
        <f>J7/O7</f>
        <v>0.26660659415442556</v>
      </c>
      <c r="L7" s="65">
        <f>tot_wk!G4</f>
        <v>285.84540686000003</v>
      </c>
      <c r="M7" s="8">
        <f>L7/P7</f>
        <v>0.29145423084386524</v>
      </c>
      <c r="N7" s="27"/>
      <c r="O7" s="65">
        <f>E7+J7</f>
        <v>1071.60878742</v>
      </c>
      <c r="P7" s="65">
        <f>G7+L7</f>
        <v>980.75572975</v>
      </c>
      <c r="Q7" s="8">
        <f>P7/O7</f>
        <v>0.91521807329637772</v>
      </c>
    </row>
    <row r="8" spans="1:18">
      <c r="B8" s="4" t="str">
        <f>tot_wk!C5</f>
        <v>Q4</v>
      </c>
      <c r="C8" s="4" t="s">
        <v>79</v>
      </c>
      <c r="E8" s="66">
        <f>tot_wk!D5</f>
        <v>810.60680189000004</v>
      </c>
      <c r="F8" s="13">
        <f>E8/O8</f>
        <v>0.72929837230010763</v>
      </c>
      <c r="G8" s="66">
        <f>tot_wk!E5</f>
        <v>702.52921917000003</v>
      </c>
      <c r="H8" s="13">
        <f>G8/P8</f>
        <v>0.70001984438345166</v>
      </c>
      <c r="I8" s="27"/>
      <c r="J8" s="66">
        <f>tot_wk!F5</f>
        <v>300.88176393999998</v>
      </c>
      <c r="K8" s="13">
        <f>J8/O8</f>
        <v>0.27070162769989237</v>
      </c>
      <c r="L8" s="66">
        <f>tot_wk!G5</f>
        <v>301.05550032999997</v>
      </c>
      <c r="M8" s="13">
        <f>L8/P8</f>
        <v>0.29998015561654828</v>
      </c>
      <c r="N8" s="27"/>
      <c r="O8" s="66">
        <f>E8+J8</f>
        <v>1111.48856583</v>
      </c>
      <c r="P8" s="66">
        <f>G8+L8</f>
        <v>1003.5847195</v>
      </c>
      <c r="Q8" s="13">
        <f>P8/O8</f>
        <v>0.9029195174406287</v>
      </c>
    </row>
    <row r="9" spans="1:18">
      <c r="A9" s="4"/>
      <c r="B9" s="4" t="s">
        <v>80</v>
      </c>
      <c r="C9" s="4" t="s">
        <v>79</v>
      </c>
      <c r="E9" s="66">
        <f>SUM(E5:E8)</f>
        <v>3089.7450996799998</v>
      </c>
      <c r="F9" s="13">
        <f>E9/O9</f>
        <v>0.72565361809313111</v>
      </c>
      <c r="G9" s="66">
        <f>SUM(G5:G8)</f>
        <v>2702.0633777399999</v>
      </c>
      <c r="H9" s="13">
        <f>G9/P9</f>
        <v>0.69809346449712484</v>
      </c>
      <c r="I9" s="27"/>
      <c r="J9" s="66">
        <f>SUM(J5:J8)</f>
        <v>1168.1336218500001</v>
      </c>
      <c r="K9" s="13">
        <f>J9/O9</f>
        <v>0.27434638190686889</v>
      </c>
      <c r="L9" s="66">
        <f>SUM(L5:L8)</f>
        <v>1168.56930278</v>
      </c>
      <c r="M9" s="13">
        <f>L9/P9</f>
        <v>0.30190653550287511</v>
      </c>
      <c r="N9" s="27"/>
      <c r="O9" s="66">
        <f>SUM(O5:O8)</f>
        <v>4257.8787215299999</v>
      </c>
      <c r="P9" s="66">
        <f>SUM(P5:P8)</f>
        <v>3870.6326805200001</v>
      </c>
      <c r="Q9" s="13">
        <f>P9/O9</f>
        <v>0.90905188561339545</v>
      </c>
    </row>
    <row r="10" spans="1:18">
      <c r="A10" s="88">
        <f>tot_wk!B6</f>
        <v>2005</v>
      </c>
      <c r="B10" s="88"/>
      <c r="C10" s="88"/>
      <c r="E10" s="7"/>
      <c r="F10" s="8"/>
      <c r="G10" s="7"/>
      <c r="H10" s="8"/>
      <c r="I10" s="27"/>
      <c r="J10" s="7"/>
      <c r="K10" s="8"/>
      <c r="L10" s="7"/>
      <c r="M10" s="8"/>
      <c r="N10" s="27"/>
      <c r="O10" s="7"/>
      <c r="P10" s="7"/>
      <c r="Q10" s="8"/>
    </row>
    <row r="11" spans="1:18">
      <c r="A11" s="2"/>
      <c r="B11" s="3" t="str">
        <f>tot_wk!C6</f>
        <v>Q1</v>
      </c>
      <c r="C11" s="3" t="s">
        <v>79</v>
      </c>
      <c r="E11" s="65">
        <f>tot_wk!D6</f>
        <v>700.89973139000006</v>
      </c>
      <c r="F11" s="8">
        <f>E11/O11</f>
        <v>0.65761470302278602</v>
      </c>
      <c r="G11" s="65">
        <f>tot_wk!E6</f>
        <v>589.84700525999995</v>
      </c>
      <c r="H11" s="8">
        <f>G11/P11</f>
        <v>0.61770344675643063</v>
      </c>
      <c r="I11" s="27"/>
      <c r="J11" s="65">
        <f>tot_wk!F6</f>
        <v>364.92152864000002</v>
      </c>
      <c r="K11" s="8">
        <f>J11/O11</f>
        <v>0.34238529697721404</v>
      </c>
      <c r="L11" s="65">
        <f>tot_wk!G6</f>
        <v>365.05620656000002</v>
      </c>
      <c r="M11" s="8">
        <f>L11/P11</f>
        <v>0.38229655324356937</v>
      </c>
      <c r="N11" s="27"/>
      <c r="O11" s="65">
        <f>E11+J11</f>
        <v>1065.8212600300001</v>
      </c>
      <c r="P11" s="65">
        <f>G11+L11</f>
        <v>954.90321182000002</v>
      </c>
      <c r="Q11" s="8">
        <f>P11/O11</f>
        <v>0.89593184864141484</v>
      </c>
    </row>
    <row r="12" spans="1:18">
      <c r="C12" s="3" t="s">
        <v>81</v>
      </c>
      <c r="E12" s="8">
        <f>E11/E5-1</f>
        <v>-3.514760561373409E-2</v>
      </c>
      <c r="F12" s="8"/>
      <c r="G12" s="8">
        <f>G11/G5-1</f>
        <v>-7.1587686404265272E-2</v>
      </c>
      <c r="H12" s="8"/>
      <c r="I12" s="16"/>
      <c r="J12" s="8">
        <f>J11/J5-1</f>
        <v>0.27385243489051492</v>
      </c>
      <c r="K12" s="8"/>
      <c r="L12" s="8">
        <f>L11/L5-1</f>
        <v>0.27409331928959713</v>
      </c>
      <c r="M12" s="8"/>
      <c r="N12" s="16"/>
      <c r="O12" s="8">
        <f>O11/O5-1</f>
        <v>5.2244276692513969E-2</v>
      </c>
      <c r="P12" s="8">
        <f>P11/P5-1</f>
        <v>3.5854108150696007E-2</v>
      </c>
      <c r="Q12" s="8"/>
    </row>
    <row r="13" spans="1:18">
      <c r="B13" s="3" t="str">
        <f>tot_wk!C7</f>
        <v>Q2</v>
      </c>
      <c r="C13" s="3" t="s">
        <v>79</v>
      </c>
      <c r="E13" s="65">
        <f>tot_wk!D7</f>
        <v>734.08909635999998</v>
      </c>
      <c r="F13" s="8">
        <f>E13/O13</f>
        <v>0.66331465605249962</v>
      </c>
      <c r="G13" s="65">
        <f>tot_wk!E7</f>
        <v>635.76577460999999</v>
      </c>
      <c r="H13" s="8">
        <f>G13/P13</f>
        <v>0.63039154654595886</v>
      </c>
      <c r="I13" s="27"/>
      <c r="J13" s="65">
        <f>tot_wk!F7</f>
        <v>372.60904405000002</v>
      </c>
      <c r="K13" s="8">
        <f>J13/O13</f>
        <v>0.33668534394750049</v>
      </c>
      <c r="L13" s="65">
        <f>tot_wk!G7</f>
        <v>372.75944767999999</v>
      </c>
      <c r="M13" s="8">
        <f>L13/P13</f>
        <v>0.3696084534540412</v>
      </c>
      <c r="N13" s="27"/>
      <c r="O13" s="65">
        <f>E13+J13</f>
        <v>1106.69814041</v>
      </c>
      <c r="P13" s="65">
        <f>G13+L13</f>
        <v>1008.52522229</v>
      </c>
      <c r="Q13" s="8">
        <f>P13/O13</f>
        <v>0.91129205468473118</v>
      </c>
    </row>
    <row r="14" spans="1:18">
      <c r="C14" s="3" t="s">
        <v>81</v>
      </c>
      <c r="E14" s="8">
        <f>E13/E6-1</f>
        <v>-4.265323379310515E-2</v>
      </c>
      <c r="F14" s="8"/>
      <c r="G14" s="8">
        <f>G13/G6-1</f>
        <v>-5.0096499869525024E-2</v>
      </c>
      <c r="H14" s="8"/>
      <c r="I14" s="16"/>
      <c r="J14" s="8">
        <f>J13/J6-1</f>
        <v>0.26272585813105631</v>
      </c>
      <c r="K14" s="8"/>
      <c r="L14" s="8">
        <f>L13/L6-1</f>
        <v>0.26296607355817314</v>
      </c>
      <c r="M14" s="8"/>
      <c r="N14" s="16"/>
      <c r="O14" s="8">
        <f>O13/O6-1</f>
        <v>4.2207893194045498E-2</v>
      </c>
      <c r="P14" s="8">
        <f>P13/P6-1</f>
        <v>4.5709429034418436E-2</v>
      </c>
      <c r="Q14" s="8"/>
    </row>
    <row r="15" spans="1:18">
      <c r="B15" s="3" t="str">
        <f>tot_wk!C8</f>
        <v>Q3</v>
      </c>
      <c r="C15" s="3" t="s">
        <v>79</v>
      </c>
      <c r="E15" s="65">
        <f>tot_wk!D8</f>
        <v>719.05591891999995</v>
      </c>
      <c r="F15" s="8">
        <f>E15/O15</f>
        <v>0.66214292466356084</v>
      </c>
      <c r="G15" s="65">
        <f>tot_wk!E8</f>
        <v>627.60078880000003</v>
      </c>
      <c r="H15" s="8">
        <f>G15/P15</f>
        <v>0.63095263778079413</v>
      </c>
      <c r="I15" s="27"/>
      <c r="J15" s="65">
        <f>tot_wk!F8</f>
        <v>366.89681445000002</v>
      </c>
      <c r="K15" s="8">
        <f>J15/O15</f>
        <v>0.33785707533643905</v>
      </c>
      <c r="L15" s="65">
        <f>tot_wk!G8</f>
        <v>367.08684893999998</v>
      </c>
      <c r="M15" s="8">
        <f>L15/P15</f>
        <v>0.36904736221920581</v>
      </c>
      <c r="N15" s="27"/>
      <c r="O15" s="65">
        <f>E15+J15</f>
        <v>1085.95273337</v>
      </c>
      <c r="P15" s="65">
        <f>G15+L15</f>
        <v>994.68763774000001</v>
      </c>
      <c r="Q15" s="8">
        <f>P15/O15</f>
        <v>0.91595850093145381</v>
      </c>
    </row>
    <row r="16" spans="1:18" s="15" customFormat="1">
      <c r="A16" s="9"/>
      <c r="B16" s="9"/>
      <c r="C16" s="9" t="s">
        <v>81</v>
      </c>
      <c r="E16" s="16">
        <f>E15/E7-1</f>
        <v>-8.5066775847685738E-2</v>
      </c>
      <c r="F16" s="16"/>
      <c r="G16" s="16">
        <f>G15/G7-1</f>
        <v>-9.686074860720495E-2</v>
      </c>
      <c r="H16" s="16"/>
      <c r="I16" s="16"/>
      <c r="J16" s="16">
        <f>J15/J7-1</f>
        <v>0.28421218964725314</v>
      </c>
      <c r="K16" s="16"/>
      <c r="L16" s="16">
        <f>L15/L7-1</f>
        <v>0.28421461436947282</v>
      </c>
      <c r="M16" s="16"/>
      <c r="N16" s="16"/>
      <c r="O16" s="16">
        <f>O15/O7-1</f>
        <v>1.3385431435789519E-2</v>
      </c>
      <c r="P16" s="16">
        <f>P15/P7-1</f>
        <v>1.4205278202709337E-2</v>
      </c>
      <c r="Q16" s="8"/>
    </row>
    <row r="17" spans="1:17">
      <c r="B17" s="3" t="str">
        <f>tot_wk!C9</f>
        <v>Q4</v>
      </c>
      <c r="C17" s="3" t="s">
        <v>79</v>
      </c>
      <c r="E17" s="65">
        <f>tot_wk!D9</f>
        <v>726.39908043000003</v>
      </c>
      <c r="F17" s="8">
        <f>E17/O17</f>
        <v>0.66086222633347291</v>
      </c>
      <c r="G17" s="65">
        <f>tot_wk!E9</f>
        <v>636.16168107999999</v>
      </c>
      <c r="H17" s="8">
        <f>G17/P17</f>
        <v>0.63040471851969571</v>
      </c>
      <c r="I17" s="27"/>
      <c r="J17" s="65">
        <f>tot_wk!F9</f>
        <v>372.76962900000001</v>
      </c>
      <c r="K17" s="8">
        <f>J17/O17</f>
        <v>0.33913777366652709</v>
      </c>
      <c r="L17" s="65">
        <f>tot_wk!G9</f>
        <v>372.97048812999998</v>
      </c>
      <c r="M17" s="8">
        <f>L17/P17</f>
        <v>0.36959528148030424</v>
      </c>
      <c r="N17" s="27"/>
      <c r="O17" s="65">
        <f>E17+J17</f>
        <v>1099.16870943</v>
      </c>
      <c r="P17" s="65">
        <f>G17+L17</f>
        <v>1009.13216921</v>
      </c>
      <c r="Q17" s="8">
        <f>P17/O17</f>
        <v>0.9180866963846791</v>
      </c>
    </row>
    <row r="18" spans="1:17">
      <c r="B18" s="4"/>
      <c r="C18" s="4" t="s">
        <v>81</v>
      </c>
      <c r="E18" s="13">
        <f>E17/E8-1</f>
        <v>-0.10388232773727335</v>
      </c>
      <c r="F18" s="13"/>
      <c r="G18" s="13">
        <f>G17/G8-1</f>
        <v>-9.4469434550223608E-2</v>
      </c>
      <c r="H18" s="13"/>
      <c r="I18" s="27"/>
      <c r="J18" s="13">
        <f>J17/J8-1</f>
        <v>0.23892396840087482</v>
      </c>
      <c r="K18" s="13"/>
      <c r="L18" s="13">
        <f>L17/L8-1</f>
        <v>0.23887617971161745</v>
      </c>
      <c r="M18" s="13"/>
      <c r="N18" s="27"/>
      <c r="O18" s="13">
        <f>O17/O8-1</f>
        <v>-1.1084105386905296E-2</v>
      </c>
      <c r="P18" s="13">
        <f>P17/P8-1</f>
        <v>5.5276346901373952E-3</v>
      </c>
      <c r="Q18" s="13"/>
    </row>
    <row r="19" spans="1:17">
      <c r="B19" s="3" t="s">
        <v>80</v>
      </c>
      <c r="C19" s="3" t="s">
        <v>79</v>
      </c>
      <c r="E19" s="65">
        <f>E15+E13+E11+E17</f>
        <v>2880.4438270999999</v>
      </c>
      <c r="F19" s="8">
        <f>E19/O19</f>
        <v>0.66100992044087958</v>
      </c>
      <c r="G19" s="65">
        <f>G15+G13+G11+G17</f>
        <v>2489.37524975</v>
      </c>
      <c r="H19" s="8">
        <f>G19/P19</f>
        <v>0.62748159391328373</v>
      </c>
      <c r="I19" s="27"/>
      <c r="J19" s="65">
        <f>J15+J13+J11+J17</f>
        <v>1477.19701614</v>
      </c>
      <c r="K19" s="8">
        <f>J19/O19</f>
        <v>0.33899007955912036</v>
      </c>
      <c r="L19" s="65">
        <f>L15+L13+L11+L17</f>
        <v>1477.8729913099999</v>
      </c>
      <c r="M19" s="8">
        <f>L19/P19</f>
        <v>0.37251840608671627</v>
      </c>
      <c r="N19" s="27"/>
      <c r="O19" s="65">
        <f>O15+O13+O11+O17</f>
        <v>4357.6408432400003</v>
      </c>
      <c r="P19" s="65">
        <f>P15+P13+P11+P17</f>
        <v>3967.2482410600001</v>
      </c>
      <c r="Q19" s="8">
        <f>P19/O19</f>
        <v>0.91041193704946666</v>
      </c>
    </row>
    <row r="20" spans="1:17">
      <c r="A20" s="4"/>
      <c r="B20" s="4"/>
      <c r="C20" s="4" t="s">
        <v>81</v>
      </c>
      <c r="E20" s="13">
        <f>E19/E9-1</f>
        <v>-6.77406277306426E-2</v>
      </c>
      <c r="F20" s="13"/>
      <c r="G20" s="13">
        <f>G19/G9-1</f>
        <v>-7.8713226988736174E-2</v>
      </c>
      <c r="H20" s="13"/>
      <c r="I20" s="16"/>
      <c r="J20" s="13">
        <f>J19/J9-1</f>
        <v>0.26457880203852802</v>
      </c>
      <c r="K20" s="13"/>
      <c r="L20" s="13">
        <f>L19/L9-1</f>
        <v>0.26468578953269883</v>
      </c>
      <c r="M20" s="13"/>
      <c r="N20" s="16"/>
      <c r="O20" s="13">
        <f>O19/O9-1</f>
        <v>2.3430005463883408E-2</v>
      </c>
      <c r="P20" s="13">
        <f>P19/P9-1</f>
        <v>2.4961180384344805E-2</v>
      </c>
      <c r="Q20" s="13"/>
    </row>
    <row r="21" spans="1:17">
      <c r="A21" s="88">
        <f>tot_wk!B10</f>
        <v>2006</v>
      </c>
      <c r="B21" s="88"/>
      <c r="C21" s="88"/>
      <c r="E21" s="7"/>
      <c r="F21" s="8"/>
      <c r="G21" s="7"/>
      <c r="H21" s="8"/>
      <c r="I21" s="27"/>
      <c r="J21" s="7"/>
      <c r="K21" s="8"/>
      <c r="L21" s="7"/>
      <c r="M21" s="8"/>
      <c r="N21" s="27"/>
      <c r="O21" s="7"/>
      <c r="P21" s="7"/>
      <c r="Q21" s="8"/>
    </row>
    <row r="22" spans="1:17">
      <c r="A22" s="2"/>
      <c r="B22" s="3" t="str">
        <f>tot_wk!C10</f>
        <v>Q1</v>
      </c>
      <c r="C22" s="3" t="s">
        <v>79</v>
      </c>
      <c r="E22" s="65">
        <f>tot_wk!D10</f>
        <v>696.58776993000004</v>
      </c>
      <c r="F22" s="8">
        <f>E22/O22</f>
        <v>0.65768261809656314</v>
      </c>
      <c r="G22" s="65">
        <f>tot_wk!E10</f>
        <v>625.07487415000003</v>
      </c>
      <c r="H22" s="8">
        <f>G22/P22</f>
        <v>0.63287117027663808</v>
      </c>
      <c r="I22" s="27"/>
      <c r="J22" s="65">
        <f>tot_wk!F10</f>
        <v>362.56713360999998</v>
      </c>
      <c r="K22" s="8">
        <f>J22/O22</f>
        <v>0.3423173819034368</v>
      </c>
      <c r="L22" s="65">
        <f>tot_wk!G10</f>
        <v>362.60619509000003</v>
      </c>
      <c r="M22" s="8">
        <f>L22/P22</f>
        <v>0.36712882972336192</v>
      </c>
      <c r="N22" s="27"/>
      <c r="O22" s="65">
        <f>E22+J22</f>
        <v>1059.1549035400001</v>
      </c>
      <c r="P22" s="65">
        <f>G22+L22</f>
        <v>987.68106924000006</v>
      </c>
      <c r="Q22" s="8">
        <f>P22/O22</f>
        <v>0.93251805372272367</v>
      </c>
    </row>
    <row r="23" spans="1:17">
      <c r="A23" s="9"/>
      <c r="B23" s="9"/>
      <c r="C23" s="9" t="s">
        <v>81</v>
      </c>
      <c r="E23" s="16">
        <f>E22/E11-1</f>
        <v>-6.1520375410170081E-3</v>
      </c>
      <c r="F23" s="16"/>
      <c r="G23" s="16">
        <f>G22/G11-1</f>
        <v>5.9723739505080475E-2</v>
      </c>
      <c r="H23" s="16"/>
      <c r="I23" s="16"/>
      <c r="J23" s="16">
        <f>J22/J11-1</f>
        <v>-6.4517844117732981E-3</v>
      </c>
      <c r="K23" s="16"/>
      <c r="L23" s="16">
        <f>L22/L11-1</f>
        <v>-6.7113267107192787E-3</v>
      </c>
      <c r="M23" s="16"/>
      <c r="N23" s="16"/>
      <c r="O23" s="16">
        <f>O22/O11-1</f>
        <v>-6.2546664623788217E-3</v>
      </c>
      <c r="P23" s="16">
        <f>P22/P11-1</f>
        <v>3.4325842676271812E-2</v>
      </c>
      <c r="Q23" s="16"/>
    </row>
    <row r="24" spans="1:17">
      <c r="A24" s="9"/>
      <c r="B24" s="9" t="str">
        <f>tot_wk!C11</f>
        <v>Q2</v>
      </c>
      <c r="C24" s="9" t="s">
        <v>79</v>
      </c>
      <c r="E24" s="68">
        <f>tot_wk!D11</f>
        <v>727.84374337999998</v>
      </c>
      <c r="F24" s="16">
        <f>E24/O24</f>
        <v>0.65786614340055705</v>
      </c>
      <c r="G24" s="68">
        <f>tot_wk!E11</f>
        <v>669.37365700999999</v>
      </c>
      <c r="H24" s="16">
        <f>G24/P24</f>
        <v>0.63933751139490747</v>
      </c>
      <c r="I24" s="27"/>
      <c r="J24" s="68">
        <f>tot_wk!F11</f>
        <v>378.52683166999998</v>
      </c>
      <c r="K24" s="16">
        <f>J24/O24</f>
        <v>0.34213385659944306</v>
      </c>
      <c r="L24" s="68">
        <f>tot_wk!G11</f>
        <v>377.60645142999999</v>
      </c>
      <c r="M24" s="16">
        <f>L24/P24</f>
        <v>0.36066248860509242</v>
      </c>
      <c r="N24" s="27"/>
      <c r="O24" s="68">
        <f>E24+J24</f>
        <v>1106.3705750499998</v>
      </c>
      <c r="P24" s="65">
        <f>G24+L24</f>
        <v>1046.9801084400001</v>
      </c>
      <c r="Q24" s="16">
        <f>P24/O24</f>
        <v>0.94631955336726514</v>
      </c>
    </row>
    <row r="25" spans="1:17">
      <c r="A25" s="9"/>
      <c r="B25" s="9"/>
      <c r="C25" s="9" t="s">
        <v>81</v>
      </c>
      <c r="E25" s="16">
        <f>E24/E13-1</f>
        <v>-8.5076225910012404E-3</v>
      </c>
      <c r="F25" s="16"/>
      <c r="G25" s="16">
        <f>G24/G13-1</f>
        <v>5.2862050368496449E-2</v>
      </c>
      <c r="H25" s="16"/>
      <c r="I25" s="16"/>
      <c r="J25" s="16">
        <f>J24/J13-1</f>
        <v>1.5882028937563408E-2</v>
      </c>
      <c r="K25" s="16"/>
      <c r="L25" s="16">
        <f>L24/L13-1</f>
        <v>1.3003033940969244E-2</v>
      </c>
      <c r="M25" s="16"/>
      <c r="N25" s="16"/>
      <c r="O25" s="16">
        <f>O24/O13-1</f>
        <v>-2.9598437734679184E-4</v>
      </c>
      <c r="P25" s="16">
        <f>P24/P13-1</f>
        <v>3.8129820950518978E-2</v>
      </c>
      <c r="Q25" s="16"/>
    </row>
    <row r="26" spans="1:17">
      <c r="A26" s="9"/>
      <c r="B26" s="9" t="str">
        <f>tot_wk!C12</f>
        <v>Q3</v>
      </c>
      <c r="C26" s="9" t="s">
        <v>79</v>
      </c>
      <c r="E26" s="68">
        <f>tot_wk!D12</f>
        <v>724.90989058000002</v>
      </c>
      <c r="F26" s="16">
        <f>E26/O26</f>
        <v>0.65545011087993166</v>
      </c>
      <c r="G26" s="68">
        <f>tot_wk!E12</f>
        <v>653.69016843999998</v>
      </c>
      <c r="H26" s="16">
        <f>G26/P26</f>
        <v>0.63236707018505411</v>
      </c>
      <c r="I26" s="27"/>
      <c r="J26" s="68">
        <f>tot_wk!F12</f>
        <v>381.06275104000002</v>
      </c>
      <c r="K26" s="16">
        <f>J26/O26</f>
        <v>0.34454988912006823</v>
      </c>
      <c r="L26" s="68">
        <f>tot_wk!G12</f>
        <v>380.02932655000001</v>
      </c>
      <c r="M26" s="16">
        <f>L26/P26</f>
        <v>0.36763292981494594</v>
      </c>
      <c r="N26" s="27"/>
      <c r="O26" s="68">
        <f>E26+J26</f>
        <v>1105.9726416200001</v>
      </c>
      <c r="P26" s="68">
        <f>G26+L26</f>
        <v>1033.7194949899999</v>
      </c>
      <c r="Q26" s="16">
        <f>P26/O26</f>
        <v>0.93467004163487655</v>
      </c>
    </row>
    <row r="27" spans="1:17" s="15" customFormat="1">
      <c r="A27" s="9"/>
      <c r="B27" s="9"/>
      <c r="C27" s="9" t="s">
        <v>81</v>
      </c>
      <c r="E27" s="16">
        <f>E26/E15-1</f>
        <v>8.1411911173647766E-3</v>
      </c>
      <c r="F27" s="16"/>
      <c r="G27" s="16">
        <f>G26/G15-1</f>
        <v>4.1570023660875144E-2</v>
      </c>
      <c r="H27" s="16"/>
      <c r="I27" s="16"/>
      <c r="J27" s="16">
        <f>J26/J15-1</f>
        <v>3.861013787005918E-2</v>
      </c>
      <c r="K27" s="16"/>
      <c r="L27" s="16">
        <f>L26/L15-1</f>
        <v>3.5257263090118007E-2</v>
      </c>
      <c r="M27" s="16"/>
      <c r="N27" s="16"/>
      <c r="O27" s="16">
        <f>O26/O15-1</f>
        <v>1.8435340355811736E-2</v>
      </c>
      <c r="P27" s="16">
        <f>P26/P15-1</f>
        <v>3.9240316023915867E-2</v>
      </c>
      <c r="Q27" s="16"/>
    </row>
    <row r="28" spans="1:17">
      <c r="B28" s="3" t="str">
        <f>tot_wk!C13</f>
        <v>Q4</v>
      </c>
      <c r="C28" s="3" t="s">
        <v>79</v>
      </c>
      <c r="E28" s="68">
        <f>tot_wk!D13</f>
        <v>738.23144494999997</v>
      </c>
      <c r="F28" s="8">
        <f>E28/O28</f>
        <v>0.65902574488499599</v>
      </c>
      <c r="G28" s="68">
        <f>tot_wk!E13</f>
        <v>680.83005555</v>
      </c>
      <c r="H28" s="8">
        <f>G28/P28</f>
        <v>0.64122735113436558</v>
      </c>
      <c r="I28" s="27"/>
      <c r="J28" s="68">
        <f>tot_wk!F13</f>
        <v>381.95460344000003</v>
      </c>
      <c r="K28" s="8">
        <f>J28/O28</f>
        <v>0.34097425511500395</v>
      </c>
      <c r="L28" s="68">
        <f>tot_wk!G13</f>
        <v>380.93072920999998</v>
      </c>
      <c r="M28" s="8">
        <f>L28/P28</f>
        <v>0.35877264886563448</v>
      </c>
      <c r="N28" s="27"/>
      <c r="O28" s="68">
        <f>E28+J28</f>
        <v>1120.18604839</v>
      </c>
      <c r="P28" s="68">
        <f>G28+L28</f>
        <v>1061.76078476</v>
      </c>
      <c r="Q28" s="8">
        <f>P28/O28</f>
        <v>0.94784325004406866</v>
      </c>
    </row>
    <row r="29" spans="1:17">
      <c r="B29" s="4"/>
      <c r="C29" s="4" t="s">
        <v>81</v>
      </c>
      <c r="E29" s="13">
        <f>E28/E17-1</f>
        <v>1.628906869347313E-2</v>
      </c>
      <c r="F29" s="13"/>
      <c r="G29" s="13">
        <f>G28/G17-1</f>
        <v>7.0215443335359895E-2</v>
      </c>
      <c r="H29" s="13"/>
      <c r="I29" s="27"/>
      <c r="J29" s="13">
        <f>J28/J17-1</f>
        <v>2.4639814312769515E-2</v>
      </c>
      <c r="K29" s="13"/>
      <c r="L29" s="13">
        <f>L28/L17-1</f>
        <v>2.1342817550823012E-2</v>
      </c>
      <c r="M29" s="13"/>
      <c r="N29" s="27"/>
      <c r="O29" s="13">
        <f>O28/O17-1</f>
        <v>1.9121121971256816E-2</v>
      </c>
      <c r="P29" s="13">
        <f>P28/P17-1</f>
        <v>5.2152351451842272E-2</v>
      </c>
      <c r="Q29" s="13"/>
    </row>
    <row r="30" spans="1:17">
      <c r="B30" s="3" t="s">
        <v>80</v>
      </c>
      <c r="C30" s="3" t="s">
        <v>79</v>
      </c>
      <c r="E30" s="68">
        <f>E26+E24+E22+E28</f>
        <v>2887.57284884</v>
      </c>
      <c r="F30" s="8">
        <f>E30/O30</f>
        <v>0.65750922379295618</v>
      </c>
      <c r="G30" s="68">
        <f>G26+G24+G22+G28</f>
        <v>2628.9687551500001</v>
      </c>
      <c r="H30" s="8">
        <f>G30/P30</f>
        <v>0.63653237600871149</v>
      </c>
      <c r="I30" s="27"/>
      <c r="J30" s="68">
        <f>J26+J24+J22+J28</f>
        <v>1504.11131976</v>
      </c>
      <c r="K30" s="8">
        <f>J30/O30</f>
        <v>0.34249077620704388</v>
      </c>
      <c r="L30" s="68">
        <f>L26+L24+L22+L28</f>
        <v>1501.1727022800001</v>
      </c>
      <c r="M30" s="8">
        <f>L30/P30</f>
        <v>0.36346762399128868</v>
      </c>
      <c r="N30" s="27"/>
      <c r="O30" s="68">
        <f>O26+O24+O22+O28</f>
        <v>4391.6841685999998</v>
      </c>
      <c r="P30" s="68">
        <f>P26+P24+P22+P28</f>
        <v>4130.1414574299997</v>
      </c>
      <c r="Q30" s="8">
        <f>P30/O30</f>
        <v>0.94044591980452552</v>
      </c>
    </row>
    <row r="31" spans="1:17">
      <c r="A31" s="4"/>
      <c r="B31" s="4"/>
      <c r="C31" s="4" t="s">
        <v>81</v>
      </c>
      <c r="D31" s="11"/>
      <c r="E31" s="13">
        <f>E30/E19-1</f>
        <v>2.474973361024535E-3</v>
      </c>
      <c r="F31" s="13"/>
      <c r="G31" s="13">
        <f>G30/G19-1</f>
        <v>5.6075718361070281E-2</v>
      </c>
      <c r="H31" s="13"/>
      <c r="I31" s="13"/>
      <c r="J31" s="13">
        <f>J30/J19-1</f>
        <v>1.8219846998018374E-2</v>
      </c>
      <c r="K31" s="13"/>
      <c r="L31" s="13">
        <f>L30/L19-1</f>
        <v>1.5765705921283013E-2</v>
      </c>
      <c r="M31" s="13"/>
      <c r="N31" s="13"/>
      <c r="O31" s="13">
        <f>O30/O19-1</f>
        <v>7.8123293278771211E-3</v>
      </c>
      <c r="P31" s="13">
        <f>P30/P19-1</f>
        <v>4.1059496777664961E-2</v>
      </c>
      <c r="Q31" s="13"/>
    </row>
    <row r="32" spans="1:17">
      <c r="A32" s="34" t="str">
        <f>說明!B18</f>
        <v>1.</v>
      </c>
      <c r="B32" s="34" t="str">
        <f>說明!C18</f>
        <v>資料來源：總額各案件核定醫療費用分攤明細(PHFB_DECIDE_DIST)</v>
      </c>
      <c r="C32" s="9"/>
      <c r="E32" s="16"/>
      <c r="F32" s="16"/>
      <c r="G32" s="16"/>
      <c r="H32" s="16"/>
      <c r="I32" s="16"/>
      <c r="J32" s="16"/>
      <c r="K32" s="16"/>
      <c r="L32" s="16"/>
      <c r="M32" s="16"/>
      <c r="N32" s="16"/>
      <c r="O32" s="16"/>
      <c r="P32" s="16"/>
      <c r="Q32" s="16"/>
    </row>
    <row r="33" spans="1:11">
      <c r="A33" s="34" t="str">
        <f>說明!B19</f>
        <v>2.</v>
      </c>
      <c r="B33" s="34" t="str">
        <f>說明!C19</f>
        <v>資料處理：</v>
      </c>
    </row>
    <row r="34" spans="1:11">
      <c r="A34" s="34"/>
      <c r="B34" s="34" t="str">
        <f>說明!C20</f>
        <v>※本表僅含當季核定之送核、補報資料</v>
      </c>
    </row>
    <row r="35" spans="1:11">
      <c r="A35" s="34"/>
      <c r="B35" s="34" t="str">
        <f>說明!C21</f>
        <v>※本表不含申複、爭議審議等之核定醫療點數及費用</v>
      </c>
      <c r="K35" s="9"/>
    </row>
    <row r="36" spans="1:11">
      <c r="A36" s="34"/>
      <c r="B36" s="34" t="str">
        <f>說明!C22</f>
        <v>※本表不含代辦、總額外及追扣、補付付款之項目</v>
      </c>
      <c r="K36" s="65"/>
    </row>
    <row r="37" spans="1:11">
      <c r="A37" s="34"/>
      <c r="B37" s="34" t="str">
        <f>說明!C23</f>
        <v>※本表所謂浮動點值部分係指各總額別中一般部門預算之浮動點值部份</v>
      </c>
    </row>
    <row r="38" spans="1:11">
      <c r="A38" s="34"/>
      <c r="B38" s="34" t="str">
        <f>說明!C24</f>
        <v>※本表所謂固定點值部分係指各總額別中一般部門預算之非浮動點值及專款部份</v>
      </c>
    </row>
    <row r="39" spans="1:11">
      <c r="A39" s="34"/>
      <c r="B39" s="34" t="str">
        <f>說明!C25</f>
        <v>※層級別中不含處方釋出之醫療點數及費用</v>
      </c>
    </row>
    <row r="40" spans="1:11">
      <c r="A40" s="34"/>
      <c r="B40" s="34"/>
    </row>
    <row r="44" spans="1:11">
      <c r="G44" s="36"/>
      <c r="H44" s="36"/>
    </row>
  </sheetData>
  <mergeCells count="7">
    <mergeCell ref="A21:C21"/>
    <mergeCell ref="A1:Q1"/>
    <mergeCell ref="O2:Q2"/>
    <mergeCell ref="A4:C4"/>
    <mergeCell ref="A10:C10"/>
    <mergeCell ref="E2:H2"/>
    <mergeCell ref="J2:M2"/>
  </mergeCells>
  <phoneticPr fontId="5" type="noConversion"/>
  <hyperlinks>
    <hyperlink ref="A1:Q1" location="目錄!A1" display="全民健康保險醫療服務核定醫療點數及費用統計_總表"/>
  </hyperlinks>
  <printOptions horizontalCentered="1" verticalCentered="1"/>
  <pageMargins left="0.15748031496062992" right="0.55118110236220474" top="0.39370078740157483" bottom="0.39370078740157483" header="0.51181102362204722" footer="0.51181102362204722"/>
  <pageSetup paperSize="9" scale="91" orientation="landscape" r:id="rId1"/>
  <headerFooter alignWithMargins="0">
    <oddFooter>&amp;C&amp;"Times New Roman,標準"- &amp;P -</oddFooter>
  </headerFooter>
</worksheet>
</file>

<file path=xl/worksheets/sheet5.xml><?xml version="1.0" encoding="utf-8"?>
<worksheet xmlns="http://schemas.openxmlformats.org/spreadsheetml/2006/main" xmlns:r="http://schemas.openxmlformats.org/officeDocument/2006/relationships">
  <sheetPr codeName="Sheet14"/>
  <dimension ref="A1:G63"/>
  <sheetViews>
    <sheetView zoomScale="75" workbookViewId="0">
      <pane ySplit="1" topLeftCell="A38" activePane="bottomLeft" state="frozen"/>
      <selection pane="bottomLeft" activeCell="A58" sqref="A58:G63"/>
    </sheetView>
  </sheetViews>
  <sheetFormatPr defaultColWidth="8.875" defaultRowHeight="15"/>
  <cols>
    <col min="1" max="1" width="19" style="14" bestFit="1" customWidth="1"/>
    <col min="2" max="2" width="17.5" style="14" bestFit="1" customWidth="1"/>
    <col min="3" max="3" width="12.875" style="14" bestFit="1" customWidth="1"/>
    <col min="4" max="7" width="15.5" style="14" bestFit="1" customWidth="1"/>
    <col min="8" max="16384" width="8.875" style="14"/>
  </cols>
  <sheetData>
    <row r="1" spans="1:7" ht="17.25">
      <c r="A1" s="47" t="s">
        <v>92</v>
      </c>
      <c r="B1" s="48" t="s">
        <v>0</v>
      </c>
      <c r="C1" s="47" t="s">
        <v>1</v>
      </c>
      <c r="D1" s="48" t="s">
        <v>2</v>
      </c>
      <c r="E1" s="48" t="s">
        <v>3</v>
      </c>
      <c r="F1" s="48" t="s">
        <v>4</v>
      </c>
      <c r="G1" s="48" t="s">
        <v>5</v>
      </c>
    </row>
    <row r="2" spans="1:7">
      <c r="A2" s="49">
        <v>1</v>
      </c>
      <c r="B2" s="50">
        <v>2004</v>
      </c>
      <c r="C2" s="49" t="s">
        <v>6</v>
      </c>
      <c r="D2" s="50">
        <f>7141867395/100000000</f>
        <v>71.418673949999999</v>
      </c>
      <c r="E2" s="50">
        <f>6746941772/100000000</f>
        <v>67.469417719999996</v>
      </c>
      <c r="F2" s="50">
        <f>107098644/100000000</f>
        <v>1.07098644</v>
      </c>
      <c r="G2" s="50">
        <f>107132018/100000000</f>
        <v>1.0713201800000001</v>
      </c>
    </row>
    <row r="3" spans="1:7">
      <c r="A3" s="49">
        <v>1</v>
      </c>
      <c r="B3" s="50">
        <v>2004</v>
      </c>
      <c r="C3" s="49" t="s">
        <v>7</v>
      </c>
      <c r="D3" s="50">
        <f>7565125577/100000000</f>
        <v>75.651255770000006</v>
      </c>
      <c r="E3" s="50">
        <f>7257198841/100000000</f>
        <v>72.571988410000003</v>
      </c>
      <c r="F3" s="50">
        <f>118748702/100000000</f>
        <v>1.1874870200000001</v>
      </c>
      <c r="G3" s="50">
        <f>119122382/100000000</f>
        <v>1.19122382</v>
      </c>
    </row>
    <row r="4" spans="1:7">
      <c r="A4" s="49">
        <v>1</v>
      </c>
      <c r="B4" s="50">
        <v>2004</v>
      </c>
      <c r="C4" s="49" t="s">
        <v>8</v>
      </c>
      <c r="D4" s="50">
        <f>7875169372/100000000</f>
        <v>78.751693720000006</v>
      </c>
      <c r="E4" s="50">
        <f>7818203358/100000000</f>
        <v>78.182033579999995</v>
      </c>
      <c r="F4" s="50">
        <f>133146645/100000000</f>
        <v>1.33146645</v>
      </c>
      <c r="G4" s="50">
        <f>133631219/100000000</f>
        <v>1.3363121899999999</v>
      </c>
    </row>
    <row r="5" spans="1:7">
      <c r="A5" s="49">
        <v>1</v>
      </c>
      <c r="B5" s="50">
        <v>2004</v>
      </c>
      <c r="C5" s="49" t="s">
        <v>9</v>
      </c>
      <c r="D5" s="50">
        <f>7978396874/100000000</f>
        <v>79.783968740000006</v>
      </c>
      <c r="E5" s="50">
        <f>7615766791/100000000</f>
        <v>76.157667910000001</v>
      </c>
      <c r="F5" s="50">
        <f>144020878/100000000</f>
        <v>1.4402087800000001</v>
      </c>
      <c r="G5" s="50">
        <f>144080470/100000000</f>
        <v>1.4408046999999999</v>
      </c>
    </row>
    <row r="6" spans="1:7">
      <c r="A6" s="49">
        <v>1</v>
      </c>
      <c r="B6" s="50">
        <v>2005</v>
      </c>
      <c r="C6" s="49" t="s">
        <v>6</v>
      </c>
      <c r="D6" s="50">
        <f>7364844638/100000000</f>
        <v>73.648446379999996</v>
      </c>
      <c r="E6" s="50">
        <f>7043117253/100000000</f>
        <v>70.431172529999998</v>
      </c>
      <c r="F6" s="50">
        <f>105856678/100000000</f>
        <v>1.05856678</v>
      </c>
      <c r="G6" s="50">
        <f>106458390/100000000</f>
        <v>1.0645838999999999</v>
      </c>
    </row>
    <row r="7" spans="1:7">
      <c r="A7" s="49">
        <v>1</v>
      </c>
      <c r="B7" s="50">
        <v>2005</v>
      </c>
      <c r="C7" s="49" t="s">
        <v>7</v>
      </c>
      <c r="D7" s="50">
        <f>7751405888/100000000</f>
        <v>77.514058879999993</v>
      </c>
      <c r="E7" s="50">
        <f>7579027921/100000000</f>
        <v>75.790279209999994</v>
      </c>
      <c r="F7" s="50">
        <f>117075100/100000000</f>
        <v>1.1707510000000001</v>
      </c>
      <c r="G7" s="50">
        <f>118171257/100000000</f>
        <v>1.18171257</v>
      </c>
    </row>
    <row r="8" spans="1:7">
      <c r="A8" s="49">
        <v>1</v>
      </c>
      <c r="B8" s="50">
        <v>2005</v>
      </c>
      <c r="C8" s="49" t="s">
        <v>8</v>
      </c>
      <c r="D8" s="50">
        <f>7913729852/100000000</f>
        <v>79.137298520000002</v>
      </c>
      <c r="E8" s="50">
        <f>8078551309/100000000</f>
        <v>80.785513089999995</v>
      </c>
      <c r="F8" s="50">
        <f>121014401/100000000</f>
        <v>1.21014401</v>
      </c>
      <c r="G8" s="50">
        <f>122066153/100000000</f>
        <v>1.2206615300000001</v>
      </c>
    </row>
    <row r="9" spans="1:7">
      <c r="A9" s="49">
        <v>1</v>
      </c>
      <c r="B9" s="50">
        <v>2005</v>
      </c>
      <c r="C9" s="49" t="s">
        <v>9</v>
      </c>
      <c r="D9" s="50">
        <f>7843546745/100000000</f>
        <v>78.435467450000004</v>
      </c>
      <c r="E9" s="50">
        <f>7957463438/100000000</f>
        <v>79.574634380000006</v>
      </c>
      <c r="F9" s="50">
        <f>120388294/100000000</f>
        <v>1.20388294</v>
      </c>
      <c r="G9" s="50">
        <f>121566785/100000000</f>
        <v>1.21566785</v>
      </c>
    </row>
    <row r="10" spans="1:7">
      <c r="A10" s="49">
        <v>2</v>
      </c>
      <c r="B10" s="50">
        <v>2004</v>
      </c>
      <c r="C10" s="49" t="s">
        <v>6</v>
      </c>
      <c r="D10" s="50">
        <f>2860963185/100000000</f>
        <v>28.60963185</v>
      </c>
      <c r="E10" s="50">
        <f>2866653107/100000000</f>
        <v>28.666531070000001</v>
      </c>
      <c r="F10" s="50">
        <f>1171452826/100000000</f>
        <v>11.71452826</v>
      </c>
      <c r="G10" s="50">
        <f>1171452826/100000000</f>
        <v>11.71452826</v>
      </c>
    </row>
    <row r="11" spans="1:7">
      <c r="A11" s="49">
        <v>2</v>
      </c>
      <c r="B11" s="50">
        <v>2004</v>
      </c>
      <c r="C11" s="49" t="s">
        <v>7</v>
      </c>
      <c r="D11" s="50">
        <f>3332562451/100000000</f>
        <v>33.325624509999997</v>
      </c>
      <c r="E11" s="50">
        <f>2839836336/100000000</f>
        <v>28.398363360000001</v>
      </c>
      <c r="F11" s="50">
        <f>1318185876/100000000</f>
        <v>13.181858760000001</v>
      </c>
      <c r="G11" s="50">
        <f>1318185876/100000000</f>
        <v>13.181858760000001</v>
      </c>
    </row>
    <row r="12" spans="1:7">
      <c r="A12" s="49">
        <v>2</v>
      </c>
      <c r="B12" s="50">
        <v>2004</v>
      </c>
      <c r="C12" s="49" t="s">
        <v>8</v>
      </c>
      <c r="D12" s="50">
        <f>3365681723/100000000</f>
        <v>33.656817230000001</v>
      </c>
      <c r="E12" s="50">
        <f>2736254795/100000000</f>
        <v>27.36254795</v>
      </c>
      <c r="F12" s="50">
        <f>1367872806/100000000</f>
        <v>13.678728059999999</v>
      </c>
      <c r="G12" s="50">
        <f>1367872806/100000000</f>
        <v>13.678728059999999</v>
      </c>
    </row>
    <row r="13" spans="1:7">
      <c r="A13" s="49">
        <v>2</v>
      </c>
      <c r="B13" s="50">
        <v>2004</v>
      </c>
      <c r="C13" s="49" t="s">
        <v>9</v>
      </c>
      <c r="D13" s="50">
        <f>3524347192/100000000</f>
        <v>35.243471919999998</v>
      </c>
      <c r="E13" s="50">
        <f>2939396741/100000000</f>
        <v>29.393967409999998</v>
      </c>
      <c r="F13" s="50">
        <f>1460349123/100000000</f>
        <v>14.603491229999999</v>
      </c>
      <c r="G13" s="50">
        <f>1460349123/100000000</f>
        <v>14.603491229999999</v>
      </c>
    </row>
    <row r="14" spans="1:7">
      <c r="A14" s="49">
        <v>2</v>
      </c>
      <c r="B14" s="50">
        <v>2005</v>
      </c>
      <c r="C14" s="49" t="s">
        <v>6</v>
      </c>
      <c r="D14" s="50">
        <f>3037474787/100000000</f>
        <v>30.37474787</v>
      </c>
      <c r="E14" s="50">
        <f>2874926403/100000000</f>
        <v>28.749264029999999</v>
      </c>
      <c r="F14" s="50">
        <f>1324801444/100000000</f>
        <v>13.24801444</v>
      </c>
      <c r="G14" s="50">
        <f>1324801444/100000000</f>
        <v>13.24801444</v>
      </c>
    </row>
    <row r="15" spans="1:7">
      <c r="A15" s="49">
        <v>2</v>
      </c>
      <c r="B15" s="50">
        <v>2005</v>
      </c>
      <c r="C15" s="49" t="s">
        <v>7</v>
      </c>
      <c r="D15" s="50">
        <f>3381696876/100000000</f>
        <v>33.816968760000002</v>
      </c>
      <c r="E15" s="50">
        <f>2961497875/100000000</f>
        <v>29.614978749999999</v>
      </c>
      <c r="F15" s="50">
        <f>1368858105/100000000</f>
        <v>13.68858105</v>
      </c>
      <c r="G15" s="50">
        <f>1368858105/100000000</f>
        <v>13.68858105</v>
      </c>
    </row>
    <row r="16" spans="1:7">
      <c r="A16" s="49">
        <v>2</v>
      </c>
      <c r="B16" s="50">
        <v>2005</v>
      </c>
      <c r="C16" s="49" t="s">
        <v>8</v>
      </c>
      <c r="D16" s="50">
        <f>3194658726/100000000</f>
        <v>31.946587260000001</v>
      </c>
      <c r="E16" s="50">
        <f>2949370589/100000000</f>
        <v>29.493705890000001</v>
      </c>
      <c r="F16" s="50">
        <f>1313049828/100000000</f>
        <v>13.130498279999999</v>
      </c>
      <c r="G16" s="50">
        <f>1313049828/100000000</f>
        <v>13.130498279999999</v>
      </c>
    </row>
    <row r="17" spans="1:7">
      <c r="A17" s="49">
        <v>2</v>
      </c>
      <c r="B17" s="50">
        <v>2005</v>
      </c>
      <c r="C17" s="49" t="s">
        <v>9</v>
      </c>
      <c r="D17" s="50">
        <f>3159827838/100000000</f>
        <v>31.59827838</v>
      </c>
      <c r="E17" s="50">
        <f>3157340036/100000000</f>
        <v>31.573400360000001</v>
      </c>
      <c r="F17" s="50">
        <f>1342512568/100000000</f>
        <v>13.425125680000001</v>
      </c>
      <c r="G17" s="50">
        <f>1342512568/100000000</f>
        <v>13.425125680000001</v>
      </c>
    </row>
    <row r="18" spans="1:7">
      <c r="A18" s="49">
        <v>3</v>
      </c>
      <c r="B18" s="50">
        <v>2004</v>
      </c>
      <c r="C18" s="49" t="s">
        <v>6</v>
      </c>
      <c r="D18" s="50">
        <f>13468615694/100000000</f>
        <v>134.68615693999999</v>
      </c>
      <c r="E18" s="50">
        <f>11768311528/100000000</f>
        <v>117.68311528</v>
      </c>
      <c r="F18" s="50">
        <f>6955097691/100000000</f>
        <v>69.550976910000003</v>
      </c>
      <c r="G18" s="50">
        <f>6960218694/100000000</f>
        <v>69.602186939999996</v>
      </c>
    </row>
    <row r="19" spans="1:7">
      <c r="A19" s="49">
        <v>3</v>
      </c>
      <c r="B19" s="50">
        <v>2004</v>
      </c>
      <c r="C19" s="49" t="s">
        <v>7</v>
      </c>
      <c r="D19" s="50">
        <f>13529551320/100000000</f>
        <v>135.29551319999999</v>
      </c>
      <c r="E19" s="50">
        <f>12001054600/100000000</f>
        <v>120.01054600000001</v>
      </c>
      <c r="F19" s="50">
        <f>6905463189/100000000</f>
        <v>69.054631889999996</v>
      </c>
      <c r="G19" s="50">
        <f>6911385807/100000000</f>
        <v>69.113858070000006</v>
      </c>
    </row>
    <row r="20" spans="1:7">
      <c r="A20" s="49">
        <v>3</v>
      </c>
      <c r="B20" s="50">
        <v>2004</v>
      </c>
      <c r="C20" s="49" t="s">
        <v>8</v>
      </c>
      <c r="D20" s="50">
        <f>13874726926/100000000</f>
        <v>138.74726926</v>
      </c>
      <c r="E20" s="50">
        <f>11279269689/100000000</f>
        <v>112.79269689</v>
      </c>
      <c r="F20" s="50">
        <f>7095501773/100000000</f>
        <v>70.955017729999994</v>
      </c>
      <c r="G20" s="50">
        <f>7109760977/100000000</f>
        <v>71.097609770000005</v>
      </c>
    </row>
    <row r="21" spans="1:7">
      <c r="A21" s="49">
        <v>3</v>
      </c>
      <c r="B21" s="50">
        <v>2004</v>
      </c>
      <c r="C21" s="49" t="s">
        <v>9</v>
      </c>
      <c r="D21" s="50">
        <f>15275864562/100000000</f>
        <v>152.75864562000001</v>
      </c>
      <c r="E21" s="50">
        <f>11694915700/100000000</f>
        <v>116.949157</v>
      </c>
      <c r="F21" s="50">
        <f>8026976696/100000000</f>
        <v>80.269766959999998</v>
      </c>
      <c r="G21" s="50">
        <f>8044290742/100000000</f>
        <v>80.442907419999997</v>
      </c>
    </row>
    <row r="22" spans="1:7">
      <c r="A22" s="49">
        <v>3</v>
      </c>
      <c r="B22" s="50">
        <v>2005</v>
      </c>
      <c r="C22" s="49" t="s">
        <v>6</v>
      </c>
      <c r="D22" s="50">
        <f>14853061265/100000000</f>
        <v>148.53061264999999</v>
      </c>
      <c r="E22" s="50">
        <f>11046356675/100000000</f>
        <v>110.46356675</v>
      </c>
      <c r="F22" s="50">
        <f>8173012685/100000000</f>
        <v>81.730126850000005</v>
      </c>
      <c r="G22" s="50">
        <f>8185878766/100000000</f>
        <v>81.858787660000004</v>
      </c>
    </row>
    <row r="23" spans="1:7">
      <c r="A23" s="49">
        <v>3</v>
      </c>
      <c r="B23" s="50">
        <v>2005</v>
      </c>
      <c r="C23" s="49" t="s">
        <v>7</v>
      </c>
      <c r="D23" s="50">
        <f>14923961569/100000000</f>
        <v>149.23961568999999</v>
      </c>
      <c r="E23" s="50">
        <f>11591952171/100000000</f>
        <v>115.91952171</v>
      </c>
      <c r="F23" s="50">
        <f>7891491079/100000000</f>
        <v>78.914910789999993</v>
      </c>
      <c r="G23" s="50">
        <f>7905435285/100000000</f>
        <v>79.054352850000001</v>
      </c>
    </row>
    <row r="24" spans="1:7">
      <c r="A24" s="49">
        <v>3</v>
      </c>
      <c r="B24" s="50">
        <v>2005</v>
      </c>
      <c r="C24" s="49" t="s">
        <v>8</v>
      </c>
      <c r="D24" s="50">
        <f>14152768691/100000000</f>
        <v>141.52768691</v>
      </c>
      <c r="E24" s="50">
        <f>11604542513/100000000</f>
        <v>116.04542513</v>
      </c>
      <c r="F24" s="50">
        <f>7325801339/100000000</f>
        <v>73.258013390000002</v>
      </c>
      <c r="G24" s="50">
        <f>7343753036/100000000</f>
        <v>73.437530359999997</v>
      </c>
    </row>
    <row r="25" spans="1:7">
      <c r="A25" s="49">
        <v>3</v>
      </c>
      <c r="B25" s="50">
        <v>2005</v>
      </c>
      <c r="C25" s="49" t="s">
        <v>9</v>
      </c>
      <c r="D25" s="50">
        <f>15030560618/100000000</f>
        <v>150.30560618000001</v>
      </c>
      <c r="E25" s="50">
        <f>12362900908/100000000</f>
        <v>123.62900908</v>
      </c>
      <c r="F25" s="50">
        <f>7925551623/100000000</f>
        <v>79.255516229999998</v>
      </c>
      <c r="G25" s="50">
        <f>7944459044/100000000</f>
        <v>79.444590439999999</v>
      </c>
    </row>
    <row r="26" spans="1:7">
      <c r="A26" s="49">
        <v>4</v>
      </c>
      <c r="B26" s="50">
        <v>2004</v>
      </c>
      <c r="C26" s="49" t="s">
        <v>6</v>
      </c>
      <c r="D26" s="50">
        <f>43295670457/100000000</f>
        <v>432.95670457</v>
      </c>
      <c r="E26" s="50">
        <f>36613399575/100000000</f>
        <v>366.13399575</v>
      </c>
      <c r="F26" s="50">
        <f>20179520403/100000000</f>
        <v>201.79520403000001</v>
      </c>
      <c r="G26" s="50">
        <f>20179520403/100000000</f>
        <v>201.79520403000001</v>
      </c>
    </row>
    <row r="27" spans="1:7">
      <c r="A27" s="49">
        <v>4</v>
      </c>
      <c r="B27" s="50">
        <v>2004</v>
      </c>
      <c r="C27" s="49" t="s">
        <v>7</v>
      </c>
      <c r="D27" s="50">
        <f>46306387512/100000000</f>
        <v>463.06387511999998</v>
      </c>
      <c r="E27" s="50">
        <f>38950850677/100000000</f>
        <v>389.50850677</v>
      </c>
      <c r="F27" s="50">
        <f>20923083092/100000000</f>
        <v>209.23083091999999</v>
      </c>
      <c r="G27" s="50">
        <f>20923083092/100000000</f>
        <v>209.23083091999999</v>
      </c>
    </row>
    <row r="28" spans="1:7">
      <c r="A28" s="49">
        <v>4</v>
      </c>
      <c r="B28" s="50">
        <v>2004</v>
      </c>
      <c r="C28" s="49" t="s">
        <v>8</v>
      </c>
      <c r="D28" s="50">
        <f>47451936423/100000000</f>
        <v>474.51936423000001</v>
      </c>
      <c r="E28" s="50">
        <f>41810908262/100000000</f>
        <v>418.10908261999998</v>
      </c>
      <c r="F28" s="50">
        <f>19720820154/100000000</f>
        <v>197.20820154</v>
      </c>
      <c r="G28" s="50">
        <f>19720820154/100000000</f>
        <v>197.20820154</v>
      </c>
    </row>
    <row r="29" spans="1:7">
      <c r="A29" s="49">
        <v>4</v>
      </c>
      <c r="B29" s="50">
        <v>2004</v>
      </c>
      <c r="C29" s="49" t="s">
        <v>9</v>
      </c>
      <c r="D29" s="50">
        <f>48146729950/100000000</f>
        <v>481.46729950000002</v>
      </c>
      <c r="E29" s="50">
        <f>42049772489/100000000</f>
        <v>420.49772488999997</v>
      </c>
      <c r="F29" s="50">
        <f>20198769212/100000000</f>
        <v>201.98769211999999</v>
      </c>
      <c r="G29" s="50">
        <f>20198769212/100000000</f>
        <v>201.98769211999999</v>
      </c>
    </row>
    <row r="30" spans="1:7">
      <c r="A30" s="49">
        <v>4</v>
      </c>
      <c r="B30" s="50">
        <v>2005</v>
      </c>
      <c r="C30" s="49" t="s">
        <v>6</v>
      </c>
      <c r="D30" s="50">
        <f>38756390069/100000000</f>
        <v>387.56390069000003</v>
      </c>
      <c r="E30" s="50">
        <f>32106307260/100000000</f>
        <v>321.0630726</v>
      </c>
      <c r="F30" s="50">
        <f>26626904753/100000000</f>
        <v>266.26904753000002</v>
      </c>
      <c r="G30" s="50">
        <f>26626904753/100000000</f>
        <v>266.26904753000002</v>
      </c>
    </row>
    <row r="31" spans="1:7">
      <c r="A31" s="49">
        <v>4</v>
      </c>
      <c r="B31" s="50">
        <v>2005</v>
      </c>
      <c r="C31" s="49" t="s">
        <v>7</v>
      </c>
      <c r="D31" s="50">
        <f>41053200847/100000000</f>
        <v>410.53200846999999</v>
      </c>
      <c r="E31" s="50">
        <f>35171002404/100000000</f>
        <v>351.71002404000001</v>
      </c>
      <c r="F31" s="50">
        <f>27610387292/100000000</f>
        <v>276.10387292000001</v>
      </c>
      <c r="G31" s="50">
        <f>27610387292/100000000</f>
        <v>276.10387292000001</v>
      </c>
    </row>
    <row r="32" spans="1:7">
      <c r="A32" s="49">
        <v>4</v>
      </c>
      <c r="B32" s="50">
        <v>2005</v>
      </c>
      <c r="C32" s="49" t="s">
        <v>8</v>
      </c>
      <c r="D32" s="50">
        <f>40171422143/100000000</f>
        <v>401.71422143000001</v>
      </c>
      <c r="E32" s="50">
        <f>33876251389/100000000</f>
        <v>338.76251388999998</v>
      </c>
      <c r="F32" s="50">
        <f>27645669544/100000000</f>
        <v>276.45669543999998</v>
      </c>
      <c r="G32" s="50">
        <f>27645669544/100000000</f>
        <v>276.45669543999998</v>
      </c>
    </row>
    <row r="33" spans="1:7">
      <c r="A33" s="49">
        <v>4</v>
      </c>
      <c r="B33" s="50">
        <v>2005</v>
      </c>
      <c r="C33" s="49" t="s">
        <v>9</v>
      </c>
      <c r="D33" s="50">
        <f>40047368644/100000000</f>
        <v>400.47368643999999</v>
      </c>
      <c r="E33" s="50">
        <f>33774581162/100000000</f>
        <v>337.74581161999998</v>
      </c>
      <c r="F33" s="50">
        <f>27599245901/100000000</f>
        <v>275.99245901</v>
      </c>
      <c r="G33" s="50">
        <f>27599245901/100000000</f>
        <v>275.99245901</v>
      </c>
    </row>
    <row r="34" spans="1:7">
      <c r="A34" s="49">
        <v>5</v>
      </c>
      <c r="B34" s="50">
        <v>2004</v>
      </c>
      <c r="C34" s="49" t="s">
        <v>6</v>
      </c>
      <c r="D34" s="50">
        <f>5876091232/100000000</f>
        <v>58.760912320000003</v>
      </c>
      <c r="E34" s="50">
        <f>5537565848/100000000</f>
        <v>55.375658479999998</v>
      </c>
      <c r="F34" s="50">
        <f>233910635/100000000</f>
        <v>2.3391063499999998</v>
      </c>
      <c r="G34" s="50">
        <f>233910635/100000000</f>
        <v>2.3391063499999998</v>
      </c>
    </row>
    <row r="35" spans="1:7">
      <c r="A35" s="49">
        <v>5</v>
      </c>
      <c r="B35" s="50">
        <v>2004</v>
      </c>
      <c r="C35" s="49" t="s">
        <v>7</v>
      </c>
      <c r="D35" s="50">
        <f>5945913122/100000000</f>
        <v>59.459131220000003</v>
      </c>
      <c r="E35" s="50">
        <f>5880571283/100000000</f>
        <v>58.805712829999997</v>
      </c>
      <c r="F35" s="50">
        <f>242827825/100000000</f>
        <v>2.42827825</v>
      </c>
      <c r="G35" s="50">
        <f>242827825/100000000</f>
        <v>2.42827825</v>
      </c>
    </row>
    <row r="36" spans="1:7">
      <c r="A36" s="49">
        <v>5</v>
      </c>
      <c r="B36" s="50">
        <v>2004</v>
      </c>
      <c r="C36" s="49" t="s">
        <v>8</v>
      </c>
      <c r="D36" s="50">
        <f>6023567390/100000000</f>
        <v>60.235673900000002</v>
      </c>
      <c r="E36" s="50">
        <f>5846396185/100000000</f>
        <v>58.463961849999997</v>
      </c>
      <c r="F36" s="50">
        <f>252455530/100000000</f>
        <v>2.5245552999999998</v>
      </c>
      <c r="G36" s="50">
        <f>252455530/100000000</f>
        <v>2.5245552999999998</v>
      </c>
    </row>
    <row r="37" spans="1:7">
      <c r="A37" s="49">
        <v>5</v>
      </c>
      <c r="B37" s="50">
        <v>2004</v>
      </c>
      <c r="C37" s="49" t="s">
        <v>9</v>
      </c>
      <c r="D37" s="50">
        <f>6135341611/100000000</f>
        <v>61.353416109999998</v>
      </c>
      <c r="E37" s="50">
        <f>5953070196/100000000</f>
        <v>59.530701960000002</v>
      </c>
      <c r="F37" s="50">
        <f>258060485/100000000</f>
        <v>2.5806048499999998</v>
      </c>
      <c r="G37" s="50">
        <f>258060485/100000000</f>
        <v>2.5806048499999998</v>
      </c>
    </row>
    <row r="38" spans="1:7">
      <c r="A38" s="49">
        <v>5</v>
      </c>
      <c r="B38" s="50">
        <v>2005</v>
      </c>
      <c r="C38" s="49" t="s">
        <v>6</v>
      </c>
      <c r="D38" s="50">
        <f>6078202380/100000000</f>
        <v>60.782023799999997</v>
      </c>
      <c r="E38" s="50">
        <f>5913992935/100000000</f>
        <v>59.139929350000003</v>
      </c>
      <c r="F38" s="50">
        <f>261577304/100000000</f>
        <v>2.6157730400000001</v>
      </c>
      <c r="G38" s="50">
        <f>261577304/100000000</f>
        <v>2.6157730400000001</v>
      </c>
    </row>
    <row r="39" spans="1:7">
      <c r="A39" s="49">
        <v>5</v>
      </c>
      <c r="B39" s="50">
        <v>2005</v>
      </c>
      <c r="C39" s="49" t="s">
        <v>7</v>
      </c>
      <c r="D39" s="50">
        <f>6298644456/100000000</f>
        <v>62.986444560000002</v>
      </c>
      <c r="E39" s="50">
        <f>6273097091/100000000</f>
        <v>62.730970910000003</v>
      </c>
      <c r="F39" s="50">
        <f>273092829/100000000</f>
        <v>2.73092829</v>
      </c>
      <c r="G39" s="50">
        <f>273092829/100000000</f>
        <v>2.73092829</v>
      </c>
    </row>
    <row r="40" spans="1:7">
      <c r="A40" s="49">
        <v>5</v>
      </c>
      <c r="B40" s="50">
        <v>2005</v>
      </c>
      <c r="C40" s="49" t="s">
        <v>8</v>
      </c>
      <c r="D40" s="50">
        <f>6473012480/100000000</f>
        <v>64.730124799999999</v>
      </c>
      <c r="E40" s="50">
        <f>6251363080/100000000</f>
        <v>62.513630800000001</v>
      </c>
      <c r="F40" s="50">
        <f>284146333/100000000</f>
        <v>2.8414633299999998</v>
      </c>
      <c r="G40" s="50">
        <f>284146333/100000000</f>
        <v>2.8414633299999998</v>
      </c>
    </row>
    <row r="41" spans="1:7">
      <c r="A41" s="49">
        <v>5</v>
      </c>
      <c r="B41" s="50">
        <v>2005</v>
      </c>
      <c r="C41" s="49" t="s">
        <v>9</v>
      </c>
      <c r="D41" s="50">
        <f>6558604198/100000000</f>
        <v>65.586041980000005</v>
      </c>
      <c r="E41" s="50">
        <f>6363882564/100000000</f>
        <v>63.63882564</v>
      </c>
      <c r="F41" s="50">
        <f>289264514/100000000</f>
        <v>2.8926451399999999</v>
      </c>
      <c r="G41" s="50">
        <f>289264514/100000000</f>
        <v>2.8926451399999999</v>
      </c>
    </row>
    <row r="42" spans="1:7">
      <c r="A42" s="57">
        <v>1</v>
      </c>
      <c r="B42" s="58">
        <v>2006</v>
      </c>
      <c r="C42" s="58" t="s">
        <v>6</v>
      </c>
      <c r="D42" s="58">
        <f>7466557226/100000000</f>
        <v>74.665572260000005</v>
      </c>
      <c r="E42" s="58">
        <f>7164835752/100000000</f>
        <v>71.648357520000005</v>
      </c>
      <c r="F42" s="58">
        <f>148966249/100000000</f>
        <v>1.48966249</v>
      </c>
      <c r="G42" s="59">
        <f>156067066/100000000</f>
        <v>1.56067066</v>
      </c>
    </row>
    <row r="43" spans="1:7">
      <c r="A43" s="57">
        <v>2</v>
      </c>
      <c r="B43" s="58">
        <v>2006</v>
      </c>
      <c r="C43" s="58" t="s">
        <v>6</v>
      </c>
      <c r="D43" s="58">
        <f>2848379963/100000000</f>
        <v>28.48379963</v>
      </c>
      <c r="E43" s="58">
        <f>3028871927/100000000</f>
        <v>30.288719270000001</v>
      </c>
      <c r="F43" s="58">
        <f>1242400443/100000000</f>
        <v>12.42400443</v>
      </c>
      <c r="G43" s="59">
        <f>1242400443/100000000</f>
        <v>12.42400443</v>
      </c>
    </row>
    <row r="44" spans="1:7">
      <c r="A44" s="57">
        <v>3</v>
      </c>
      <c r="B44" s="58">
        <v>2006</v>
      </c>
      <c r="C44" s="58" t="s">
        <v>6</v>
      </c>
      <c r="D44" s="58">
        <f>14294827998/100000000</f>
        <v>142.94827998</v>
      </c>
      <c r="E44" s="58">
        <f>12177124343/100000000</f>
        <v>121.77124343</v>
      </c>
      <c r="F44" s="58">
        <f>7576293473/100000000</f>
        <v>75.762934729999998</v>
      </c>
      <c r="G44" s="59">
        <f>7573098804/100000000</f>
        <v>75.73098804</v>
      </c>
    </row>
    <row r="45" spans="1:7">
      <c r="A45" s="57">
        <v>4</v>
      </c>
      <c r="B45" s="58">
        <v>2006</v>
      </c>
      <c r="C45" s="58" t="s">
        <v>6</v>
      </c>
      <c r="D45" s="58">
        <f>38622736444/100000000</f>
        <v>386.22736443999997</v>
      </c>
      <c r="E45" s="58">
        <f>33998206221/100000000</f>
        <v>339.98206220999998</v>
      </c>
      <c r="F45" s="58">
        <f>26892196548/100000000</f>
        <v>268.92196547999998</v>
      </c>
      <c r="G45" s="59">
        <f>26892196548/100000000</f>
        <v>268.92196547999998</v>
      </c>
    </row>
    <row r="46" spans="1:7" ht="15.75" thickBot="1">
      <c r="A46" s="60">
        <v>5</v>
      </c>
      <c r="B46" s="61">
        <v>2006</v>
      </c>
      <c r="C46" s="61" t="s">
        <v>6</v>
      </c>
      <c r="D46" s="61">
        <f>6426275362/100000000</f>
        <v>64.262753619999998</v>
      </c>
      <c r="E46" s="61">
        <f>6138449172/100000000</f>
        <v>61.38449172</v>
      </c>
      <c r="F46" s="61">
        <f>396856648/100000000</f>
        <v>3.9685664799999998</v>
      </c>
      <c r="G46" s="62">
        <f>396856648/100000000</f>
        <v>3.9685664799999998</v>
      </c>
    </row>
    <row r="47" spans="1:7">
      <c r="A47" s="69">
        <v>1</v>
      </c>
      <c r="B47" s="70">
        <v>2006</v>
      </c>
      <c r="C47" s="70" t="s">
        <v>7</v>
      </c>
      <c r="D47" s="70">
        <v>77.648171939999997</v>
      </c>
      <c r="E47" s="70">
        <v>76.959513790000003</v>
      </c>
      <c r="F47" s="70">
        <v>1.8017331999999999</v>
      </c>
      <c r="G47" s="71">
        <v>1.9556855</v>
      </c>
    </row>
    <row r="48" spans="1:7">
      <c r="A48" s="69">
        <v>2</v>
      </c>
      <c r="B48" s="70">
        <v>2006</v>
      </c>
      <c r="C48" s="70" t="s">
        <v>7</v>
      </c>
      <c r="D48" s="70">
        <v>31.154662680000001</v>
      </c>
      <c r="E48" s="70">
        <v>31.00237881</v>
      </c>
      <c r="F48" s="70">
        <v>12.91293404</v>
      </c>
      <c r="G48" s="71">
        <v>12.91293404</v>
      </c>
    </row>
    <row r="49" spans="1:7">
      <c r="A49" s="69">
        <v>3</v>
      </c>
      <c r="B49" s="70">
        <v>2006</v>
      </c>
      <c r="C49" s="70" t="s">
        <v>7</v>
      </c>
      <c r="D49" s="70">
        <v>142.04009189000001</v>
      </c>
      <c r="E49" s="70">
        <v>129.002162</v>
      </c>
      <c r="F49" s="70">
        <v>74.028793579999999</v>
      </c>
      <c r="G49" s="71">
        <v>72.954461030000004</v>
      </c>
    </row>
    <row r="50" spans="1:7">
      <c r="A50" s="69">
        <v>4</v>
      </c>
      <c r="B50" s="70">
        <v>2006</v>
      </c>
      <c r="C50" s="70" t="s">
        <v>7</v>
      </c>
      <c r="D50" s="70">
        <v>411.08704447999997</v>
      </c>
      <c r="E50" s="70">
        <v>367.34351278000003</v>
      </c>
      <c r="F50" s="70">
        <v>285.60533267</v>
      </c>
      <c r="G50" s="71">
        <v>285.60533267</v>
      </c>
    </row>
    <row r="51" spans="1:7" ht="15.75" thickBot="1">
      <c r="A51" s="72">
        <v>5</v>
      </c>
      <c r="B51" s="73">
        <v>2006</v>
      </c>
      <c r="C51" s="73" t="s">
        <v>7</v>
      </c>
      <c r="D51" s="73">
        <v>65.913772390000005</v>
      </c>
      <c r="E51" s="73">
        <v>65.066089640000001</v>
      </c>
      <c r="F51" s="73">
        <v>4.1780381799999997</v>
      </c>
      <c r="G51" s="74">
        <v>4.1780381799999997</v>
      </c>
    </row>
    <row r="52" spans="1:7" ht="15.75">
      <c r="A52" s="1" t="s">
        <v>92</v>
      </c>
      <c r="B52" s="79" t="s">
        <v>0</v>
      </c>
      <c r="C52" s="79" t="s">
        <v>1</v>
      </c>
      <c r="D52" s="79" t="s">
        <v>2</v>
      </c>
      <c r="E52" s="79" t="s">
        <v>3</v>
      </c>
      <c r="F52" s="79" t="s">
        <v>4</v>
      </c>
      <c r="G52" s="80" t="s">
        <v>5</v>
      </c>
    </row>
    <row r="53" spans="1:7">
      <c r="A53" s="57">
        <v>1</v>
      </c>
      <c r="B53" s="58">
        <v>2006</v>
      </c>
      <c r="C53" s="58" t="s">
        <v>8</v>
      </c>
      <c r="D53" s="58">
        <v>81.612413790000005</v>
      </c>
      <c r="E53" s="58">
        <v>82.480648299999999</v>
      </c>
      <c r="F53" s="58">
        <v>1.52230975</v>
      </c>
      <c r="G53" s="59">
        <v>1.5788668699999999</v>
      </c>
    </row>
    <row r="54" spans="1:7">
      <c r="A54" s="57">
        <v>2</v>
      </c>
      <c r="B54" s="58">
        <v>2006</v>
      </c>
      <c r="C54" s="58" t="s">
        <v>8</v>
      </c>
      <c r="D54" s="58">
        <v>32.062957869999998</v>
      </c>
      <c r="E54" s="58">
        <v>29.829763119999999</v>
      </c>
      <c r="F54" s="58">
        <v>13.56367346</v>
      </c>
      <c r="G54" s="59">
        <v>13.56367346</v>
      </c>
    </row>
    <row r="55" spans="1:7">
      <c r="A55" s="57">
        <v>3</v>
      </c>
      <c r="B55" s="58">
        <v>2006</v>
      </c>
      <c r="C55" s="58" t="s">
        <v>8</v>
      </c>
      <c r="D55" s="58">
        <v>138.48284221</v>
      </c>
      <c r="E55" s="58">
        <v>120.06027646</v>
      </c>
      <c r="F55" s="58">
        <v>73.971797640000005</v>
      </c>
      <c r="G55" s="59">
        <v>72.881816040000004</v>
      </c>
    </row>
    <row r="56" spans="1:7">
      <c r="A56" s="57">
        <v>4</v>
      </c>
      <c r="B56" s="58">
        <v>2006</v>
      </c>
      <c r="C56" s="58" t="s">
        <v>8</v>
      </c>
      <c r="D56" s="58">
        <v>405.62772553000002</v>
      </c>
      <c r="E56" s="58">
        <v>356.51254413999999</v>
      </c>
      <c r="F56" s="58">
        <v>287.61030304000002</v>
      </c>
      <c r="G56" s="59">
        <v>287.61030304000002</v>
      </c>
    </row>
    <row r="57" spans="1:7" ht="15.75" thickBot="1">
      <c r="A57" s="60">
        <v>5</v>
      </c>
      <c r="B57" s="61">
        <v>2006</v>
      </c>
      <c r="C57" s="61" t="s">
        <v>8</v>
      </c>
      <c r="D57" s="61">
        <v>67.123951180000006</v>
      </c>
      <c r="E57" s="61">
        <v>64.806936429999993</v>
      </c>
      <c r="F57" s="61">
        <v>4.3946671500000001</v>
      </c>
      <c r="G57" s="62">
        <v>4.3946671500000001</v>
      </c>
    </row>
    <row r="58" spans="1:7" ht="15.75">
      <c r="A58" s="1" t="s">
        <v>92</v>
      </c>
      <c r="B58" s="79" t="s">
        <v>0</v>
      </c>
      <c r="C58" s="79" t="s">
        <v>1</v>
      </c>
      <c r="D58" s="79" t="s">
        <v>2</v>
      </c>
      <c r="E58" s="79" t="s">
        <v>3</v>
      </c>
      <c r="F58" s="79" t="s">
        <v>4</v>
      </c>
      <c r="G58" s="80" t="s">
        <v>5</v>
      </c>
    </row>
    <row r="59" spans="1:7">
      <c r="A59" s="57">
        <v>1</v>
      </c>
      <c r="B59" s="58">
        <v>2006</v>
      </c>
      <c r="C59" s="58" t="s">
        <v>9</v>
      </c>
      <c r="D59" s="58">
        <v>79.358275000000006</v>
      </c>
      <c r="E59" s="58">
        <v>79.225781850000004</v>
      </c>
      <c r="F59" s="58">
        <v>1.7731638199999999</v>
      </c>
      <c r="G59" s="59">
        <v>1.91625844</v>
      </c>
    </row>
    <row r="60" spans="1:7">
      <c r="A60" s="57">
        <v>2</v>
      </c>
      <c r="B60" s="58">
        <v>2006</v>
      </c>
      <c r="C60" s="58" t="s">
        <v>9</v>
      </c>
      <c r="D60" s="58">
        <v>32.189505500000003</v>
      </c>
      <c r="E60" s="58">
        <v>32.216869850000002</v>
      </c>
      <c r="F60" s="58">
        <v>13.965439760000001</v>
      </c>
      <c r="G60" s="59">
        <v>13.965439760000001</v>
      </c>
    </row>
    <row r="61" spans="1:7">
      <c r="A61" s="57">
        <v>3</v>
      </c>
      <c r="B61" s="58">
        <v>2006</v>
      </c>
      <c r="C61" s="58" t="s">
        <v>9</v>
      </c>
      <c r="D61" s="58">
        <v>147.45277168999999</v>
      </c>
      <c r="E61" s="58">
        <v>131.4139624</v>
      </c>
      <c r="F61" s="58">
        <v>77.403444710000002</v>
      </c>
      <c r="G61" s="59">
        <v>76.236475870000007</v>
      </c>
    </row>
    <row r="62" spans="1:7">
      <c r="A62" s="57">
        <v>4</v>
      </c>
      <c r="B62" s="58">
        <v>2006</v>
      </c>
      <c r="C62" s="58" t="s">
        <v>9</v>
      </c>
      <c r="D62" s="58">
        <v>412.05827742000002</v>
      </c>
      <c r="E62" s="58">
        <v>372.05610228</v>
      </c>
      <c r="F62" s="58">
        <v>284.23952887000002</v>
      </c>
      <c r="G62" s="59">
        <v>284.23952887000002</v>
      </c>
    </row>
    <row r="63" spans="1:7" ht="15.75" thickBot="1">
      <c r="A63" s="60">
        <v>5</v>
      </c>
      <c r="B63" s="61">
        <v>2006</v>
      </c>
      <c r="C63" s="61" t="s">
        <v>9</v>
      </c>
      <c r="D63" s="61">
        <v>67.172615339999993</v>
      </c>
      <c r="E63" s="61">
        <v>65.917339179999999</v>
      </c>
      <c r="F63" s="61">
        <v>4.5730262799999997</v>
      </c>
      <c r="G63" s="62">
        <v>4.5730262799999997</v>
      </c>
    </row>
  </sheetData>
  <phoneticPr fontId="5"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sheetPr codeName="Sheet12">
    <pageSetUpPr fitToPage="1"/>
  </sheetPr>
  <dimension ref="A1:R43"/>
  <sheetViews>
    <sheetView showGridLines="0" zoomScale="75" workbookViewId="0">
      <pane ySplit="3" topLeftCell="A10" activePane="bottomLeft" state="frozen"/>
      <selection sqref="A1:D1"/>
      <selection pane="bottomLeft" activeCell="R1" sqref="R1"/>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 style="3" customWidth="1"/>
    <col min="6" max="6" width="10.5" style="3" customWidth="1"/>
    <col min="7" max="8" width="11.5" style="3" bestFit="1" customWidth="1"/>
    <col min="9" max="9" width="1.875" style="3" customWidth="1"/>
    <col min="10" max="10" width="14" style="3" bestFit="1" customWidth="1"/>
    <col min="11" max="13" width="11.5" style="3" bestFit="1" customWidth="1"/>
    <col min="14" max="14" width="2.25" style="3" customWidth="1"/>
    <col min="15" max="15" width="11.5" style="3" customWidth="1"/>
    <col min="16" max="16" width="11.375" style="3" customWidth="1"/>
    <col min="17" max="17" width="11.5" style="3" bestFit="1" customWidth="1"/>
    <col min="18" max="16384" width="8.875" style="2"/>
  </cols>
  <sheetData>
    <row r="1" spans="1:18" ht="40.9" customHeight="1">
      <c r="A1" s="89" t="s">
        <v>200</v>
      </c>
      <c r="B1" s="89"/>
      <c r="C1" s="89"/>
      <c r="D1" s="89"/>
      <c r="E1" s="89"/>
      <c r="F1" s="89"/>
      <c r="G1" s="89"/>
      <c r="H1" s="89"/>
      <c r="I1" s="89"/>
      <c r="J1" s="89"/>
      <c r="K1" s="89"/>
      <c r="L1" s="89"/>
      <c r="M1" s="89"/>
      <c r="N1" s="89"/>
      <c r="O1" s="89"/>
      <c r="P1" s="89"/>
      <c r="Q1" s="89"/>
      <c r="R1" s="83"/>
    </row>
    <row r="2" spans="1:18" s="3" customFormat="1">
      <c r="E2" s="90" t="s">
        <v>82</v>
      </c>
      <c r="F2" s="90"/>
      <c r="G2" s="90"/>
      <c r="H2" s="90"/>
      <c r="J2" s="90" t="s">
        <v>83</v>
      </c>
      <c r="K2" s="90"/>
      <c r="L2" s="90"/>
      <c r="M2" s="90"/>
      <c r="O2" s="90" t="s">
        <v>84</v>
      </c>
      <c r="P2" s="90"/>
      <c r="Q2" s="90"/>
    </row>
    <row r="3" spans="1:18" s="3" customFormat="1" ht="33">
      <c r="A3" s="4" t="s">
        <v>85</v>
      </c>
      <c r="B3" s="4" t="s">
        <v>86</v>
      </c>
      <c r="C3" s="4" t="s">
        <v>87</v>
      </c>
      <c r="E3" s="5" t="s">
        <v>218</v>
      </c>
      <c r="F3" s="6" t="s">
        <v>88</v>
      </c>
      <c r="G3" s="35" t="s">
        <v>219</v>
      </c>
      <c r="H3" s="6" t="s">
        <v>88</v>
      </c>
      <c r="J3" s="5" t="s">
        <v>218</v>
      </c>
      <c r="K3" s="6" t="s">
        <v>88</v>
      </c>
      <c r="L3" s="35" t="s">
        <v>219</v>
      </c>
      <c r="M3" s="6" t="s">
        <v>88</v>
      </c>
      <c r="O3" s="5" t="s">
        <v>220</v>
      </c>
      <c r="P3" s="35" t="s">
        <v>221</v>
      </c>
      <c r="Q3" s="35" t="s">
        <v>216</v>
      </c>
    </row>
    <row r="4" spans="1:18" s="3" customFormat="1">
      <c r="A4" s="88">
        <f>gb_wk!B2</f>
        <v>2004</v>
      </c>
      <c r="B4" s="88"/>
      <c r="C4" s="88"/>
      <c r="D4" s="9"/>
      <c r="E4" s="10"/>
      <c r="F4" s="9"/>
      <c r="G4" s="9"/>
      <c r="H4" s="9"/>
      <c r="I4" s="9"/>
      <c r="J4" s="10"/>
      <c r="K4" s="9"/>
      <c r="L4" s="9"/>
      <c r="M4" s="9"/>
      <c r="N4" s="9"/>
      <c r="O4" s="10"/>
      <c r="P4" s="9"/>
      <c r="Q4" s="9"/>
    </row>
    <row r="5" spans="1:18">
      <c r="A5" s="2"/>
      <c r="B5" s="3" t="str">
        <f>gb_wk!C2</f>
        <v>Q1</v>
      </c>
      <c r="C5" s="3" t="s">
        <v>89</v>
      </c>
      <c r="D5" s="15"/>
      <c r="E5" s="65">
        <f>gb_wk!D2</f>
        <v>71.418673949999999</v>
      </c>
      <c r="F5" s="8">
        <f>E5/O5</f>
        <v>0.9852256661951786</v>
      </c>
      <c r="G5" s="65">
        <f>gb_wk!E2</f>
        <v>67.469417719999996</v>
      </c>
      <c r="H5" s="8">
        <f>G5/P5</f>
        <v>0.98436958496765758</v>
      </c>
      <c r="I5" s="16"/>
      <c r="J5" s="65">
        <f>gb_wk!F2</f>
        <v>1.07098644</v>
      </c>
      <c r="K5" s="8">
        <f>J5/O5</f>
        <v>1.4774333804821403E-2</v>
      </c>
      <c r="L5" s="65">
        <f>gb_wk!G2</f>
        <v>1.0713201800000001</v>
      </c>
      <c r="M5" s="8">
        <f>L5/P5</f>
        <v>1.5630415032342394E-2</v>
      </c>
      <c r="N5" s="16"/>
      <c r="O5" s="65">
        <f>E5+J5</f>
        <v>72.489660389999997</v>
      </c>
      <c r="P5" s="65">
        <f>G5+L5</f>
        <v>68.540737899999996</v>
      </c>
      <c r="Q5" s="8">
        <f>P5/O5</f>
        <v>0.94552433452226858</v>
      </c>
    </row>
    <row r="6" spans="1:18">
      <c r="B6" s="3" t="str">
        <f>gb_wk!C3</f>
        <v>Q2</v>
      </c>
      <c r="C6" s="3" t="s">
        <v>89</v>
      </c>
      <c r="D6" s="15"/>
      <c r="E6" s="65">
        <f>gb_wk!D3</f>
        <v>75.651255770000006</v>
      </c>
      <c r="F6" s="8">
        <f>E6/O6</f>
        <v>0.98454572554309738</v>
      </c>
      <c r="G6" s="65">
        <f>gb_wk!E3</f>
        <v>72.571988410000003</v>
      </c>
      <c r="H6" s="8">
        <f>G6/P6</f>
        <v>0.98385070573817113</v>
      </c>
      <c r="I6" s="27"/>
      <c r="J6" s="65">
        <f>gb_wk!F3</f>
        <v>1.1874870200000001</v>
      </c>
      <c r="K6" s="8">
        <f>J6/O6</f>
        <v>1.5454274456902523E-2</v>
      </c>
      <c r="L6" s="65">
        <f>gb_wk!G3</f>
        <v>1.19122382</v>
      </c>
      <c r="M6" s="8">
        <f>L6/P6</f>
        <v>1.6149294261828814E-2</v>
      </c>
      <c r="N6" s="27"/>
      <c r="O6" s="65">
        <f>E6+J6</f>
        <v>76.838742790000012</v>
      </c>
      <c r="P6" s="65">
        <f>G6+L6</f>
        <v>73.763212230000008</v>
      </c>
      <c r="Q6" s="8">
        <f>P6/O6</f>
        <v>0.95997422070783467</v>
      </c>
    </row>
    <row r="7" spans="1:18">
      <c r="B7" s="3" t="str">
        <f>gb_wk!C4</f>
        <v>Q3</v>
      </c>
      <c r="C7" s="3" t="s">
        <v>89</v>
      </c>
      <c r="D7" s="15"/>
      <c r="E7" s="65">
        <f>gb_wk!D4</f>
        <v>78.751693720000006</v>
      </c>
      <c r="F7" s="8">
        <f>E7/O7</f>
        <v>0.98337395218703205</v>
      </c>
      <c r="G7" s="65">
        <f>gb_wk!E4</f>
        <v>78.182033579999995</v>
      </c>
      <c r="H7" s="8">
        <f>G7/P7</f>
        <v>0.98319491964954642</v>
      </c>
      <c r="I7" s="27"/>
      <c r="J7" s="65">
        <f>gb_wk!F4</f>
        <v>1.33146645</v>
      </c>
      <c r="K7" s="8">
        <f>J7/O7</f>
        <v>1.6626047812968069E-2</v>
      </c>
      <c r="L7" s="65">
        <f>gb_wk!G4</f>
        <v>1.3363121899999999</v>
      </c>
      <c r="M7" s="8">
        <f>L7/P7</f>
        <v>1.6805080350453572E-2</v>
      </c>
      <c r="N7" s="27"/>
      <c r="O7" s="65">
        <f>E7+J7</f>
        <v>80.083160169999999</v>
      </c>
      <c r="P7" s="65">
        <f>G7+L7</f>
        <v>79.518345769999996</v>
      </c>
      <c r="Q7" s="8">
        <f>P7/O7</f>
        <v>0.99294715145105394</v>
      </c>
    </row>
    <row r="8" spans="1:18">
      <c r="B8" s="4" t="str">
        <f>gb_wk!C5</f>
        <v>Q4</v>
      </c>
      <c r="C8" s="4" t="s">
        <v>89</v>
      </c>
      <c r="D8" s="15"/>
      <c r="E8" s="66">
        <f>gb_wk!D5</f>
        <v>79.783968740000006</v>
      </c>
      <c r="F8" s="13">
        <f>E8/O8</f>
        <v>0.9822687182071449</v>
      </c>
      <c r="G8" s="66">
        <f>gb_wk!E5</f>
        <v>76.157667910000001</v>
      </c>
      <c r="H8" s="13">
        <f>G8/P8</f>
        <v>0.981432563663446</v>
      </c>
      <c r="I8" s="27"/>
      <c r="J8" s="66">
        <f>gb_wk!F5</f>
        <v>1.4402087800000001</v>
      </c>
      <c r="K8" s="13">
        <f>J8/O8</f>
        <v>1.7731281792855019E-2</v>
      </c>
      <c r="L8" s="66">
        <f>gb_wk!G5</f>
        <v>1.4408046999999999</v>
      </c>
      <c r="M8" s="13">
        <f>L8/P8</f>
        <v>1.8567436336553944E-2</v>
      </c>
      <c r="N8" s="27"/>
      <c r="O8" s="66">
        <f>E8+J8</f>
        <v>81.224177520000012</v>
      </c>
      <c r="P8" s="66">
        <f>G8+L8</f>
        <v>77.598472610000002</v>
      </c>
      <c r="Q8" s="13">
        <f>P8/O8</f>
        <v>0.95536175285853475</v>
      </c>
    </row>
    <row r="9" spans="1:18">
      <c r="A9" s="4"/>
      <c r="B9" s="4" t="s">
        <v>90</v>
      </c>
      <c r="C9" s="4" t="s">
        <v>89</v>
      </c>
      <c r="D9" s="15"/>
      <c r="E9" s="66">
        <f>SUM(E5:E8)</f>
        <v>305.60559218000003</v>
      </c>
      <c r="F9" s="13">
        <f>E9/O9</f>
        <v>0.98380692229454347</v>
      </c>
      <c r="G9" s="66">
        <f>SUM(G5:G8)</f>
        <v>294.38110761999997</v>
      </c>
      <c r="H9" s="13">
        <f>G9/P9</f>
        <v>0.98316863284040457</v>
      </c>
      <c r="I9" s="27"/>
      <c r="J9" s="66">
        <f>SUM(J5:J8)</f>
        <v>5.0301486899999999</v>
      </c>
      <c r="K9" s="13">
        <f>J9/O9</f>
        <v>1.6193077705456631E-2</v>
      </c>
      <c r="L9" s="66">
        <f>SUM(L5:L8)</f>
        <v>5.0396608900000004</v>
      </c>
      <c r="M9" s="13">
        <f>L9/P9</f>
        <v>1.6831367159595299E-2</v>
      </c>
      <c r="N9" s="27"/>
      <c r="O9" s="66">
        <f>SUM(O5:O8)</f>
        <v>310.63574087000001</v>
      </c>
      <c r="P9" s="66">
        <f>SUM(P5:P8)</f>
        <v>299.42076851000002</v>
      </c>
      <c r="Q9" s="13">
        <f>P9/O9</f>
        <v>0.96389670960402007</v>
      </c>
    </row>
    <row r="10" spans="1:18">
      <c r="A10" s="88">
        <f>gb_wk!B6</f>
        <v>2005</v>
      </c>
      <c r="B10" s="88"/>
      <c r="C10" s="88"/>
      <c r="D10" s="15"/>
      <c r="E10" s="7"/>
      <c r="F10" s="8"/>
      <c r="G10" s="7"/>
      <c r="H10" s="8"/>
      <c r="I10" s="27"/>
      <c r="J10" s="7"/>
      <c r="K10" s="8"/>
      <c r="L10" s="7"/>
      <c r="M10" s="8"/>
      <c r="N10" s="27"/>
      <c r="O10" s="7"/>
      <c r="P10" s="7"/>
      <c r="Q10" s="8"/>
    </row>
    <row r="11" spans="1:18">
      <c r="A11" s="2"/>
      <c r="B11" s="3" t="str">
        <f>gb_wk!C6</f>
        <v>Q1</v>
      </c>
      <c r="C11" s="3" t="s">
        <v>89</v>
      </c>
      <c r="D11" s="15"/>
      <c r="E11" s="65">
        <f>gb_wk!D6</f>
        <v>73.648446379999996</v>
      </c>
      <c r="F11" s="8">
        <f>E11/O11</f>
        <v>0.98583042293856837</v>
      </c>
      <c r="G11" s="65">
        <f>gb_wk!E6</f>
        <v>70.431172529999998</v>
      </c>
      <c r="H11" s="8">
        <f>G11/P11</f>
        <v>0.98510983094440974</v>
      </c>
      <c r="I11" s="27"/>
      <c r="J11" s="65">
        <f>gb_wk!F6</f>
        <v>1.05856678</v>
      </c>
      <c r="K11" s="8">
        <f>J11/O11</f>
        <v>1.4169577061431538E-2</v>
      </c>
      <c r="L11" s="65">
        <f>gb_wk!G6</f>
        <v>1.0645838999999999</v>
      </c>
      <c r="M11" s="8">
        <f>L11/P11</f>
        <v>1.4890169055590197E-2</v>
      </c>
      <c r="N11" s="27"/>
      <c r="O11" s="65">
        <f>E11+J11</f>
        <v>74.707013160000002</v>
      </c>
      <c r="P11" s="65">
        <f>G11+L11</f>
        <v>71.49575643</v>
      </c>
      <c r="Q11" s="8">
        <f>P11/O11</f>
        <v>0.95701532434281034</v>
      </c>
    </row>
    <row r="12" spans="1:18">
      <c r="C12" s="3" t="s">
        <v>91</v>
      </c>
      <c r="D12" s="15"/>
      <c r="E12" s="8">
        <f>E11/E5-1</f>
        <v>3.1221140167920991E-2</v>
      </c>
      <c r="F12" s="8"/>
      <c r="G12" s="8">
        <f>G11/G5-1</f>
        <v>4.3897737820880023E-2</v>
      </c>
      <c r="H12" s="8"/>
      <c r="I12" s="16"/>
      <c r="J12" s="8">
        <f>J11/J5-1</f>
        <v>-1.1596468018773343E-2</v>
      </c>
      <c r="K12" s="8"/>
      <c r="L12" s="8">
        <f>L11/L5-1</f>
        <v>-6.2878307771633279E-3</v>
      </c>
      <c r="M12" s="8"/>
      <c r="N12" s="16"/>
      <c r="O12" s="8">
        <f>O11/O5-1</f>
        <v>3.0588538531846732E-2</v>
      </c>
      <c r="P12" s="8">
        <f>P11/P5-1</f>
        <v>4.3113316555058567E-2</v>
      </c>
      <c r="Q12" s="8"/>
    </row>
    <row r="13" spans="1:18">
      <c r="B13" s="3" t="str">
        <f>gb_wk!C7</f>
        <v>Q2</v>
      </c>
      <c r="C13" s="3" t="s">
        <v>89</v>
      </c>
      <c r="D13" s="15"/>
      <c r="E13" s="65">
        <f>gb_wk!D7</f>
        <v>77.514058879999993</v>
      </c>
      <c r="F13" s="8">
        <f>E13/O13</f>
        <v>0.98512100363735422</v>
      </c>
      <c r="G13" s="65">
        <f>gb_wk!E7</f>
        <v>75.790279209999994</v>
      </c>
      <c r="H13" s="8">
        <f>G13/P13</f>
        <v>0.98464749913997873</v>
      </c>
      <c r="I13" s="27"/>
      <c r="J13" s="65">
        <f>gb_wk!F7</f>
        <v>1.1707510000000001</v>
      </c>
      <c r="K13" s="8">
        <f>J13/O13</f>
        <v>1.4878996362645851E-2</v>
      </c>
      <c r="L13" s="65">
        <f>gb_wk!G7</f>
        <v>1.18171257</v>
      </c>
      <c r="M13" s="8">
        <f>L13/P13</f>
        <v>1.5352500860021269E-2</v>
      </c>
      <c r="N13" s="27"/>
      <c r="O13" s="65">
        <f>E13+J13</f>
        <v>78.684809879999989</v>
      </c>
      <c r="P13" s="65">
        <f>G13+L13</f>
        <v>76.971991779999996</v>
      </c>
      <c r="Q13" s="8">
        <f>P13/O13</f>
        <v>0.97823190902269241</v>
      </c>
    </row>
    <row r="14" spans="1:18">
      <c r="C14" s="3" t="s">
        <v>91</v>
      </c>
      <c r="D14" s="15"/>
      <c r="E14" s="8">
        <f>E13/E6-1</f>
        <v>2.4623558340702401E-2</v>
      </c>
      <c r="F14" s="8"/>
      <c r="G14" s="8">
        <f>G13/G6-1</f>
        <v>4.4346184671392175E-2</v>
      </c>
      <c r="H14" s="8"/>
      <c r="I14" s="16"/>
      <c r="J14" s="8">
        <f>J13/J6-1</f>
        <v>-1.4093644577268694E-2</v>
      </c>
      <c r="K14" s="8"/>
      <c r="L14" s="8">
        <f>L13/L6-1</f>
        <v>-7.9844357041148895E-3</v>
      </c>
      <c r="M14" s="8"/>
      <c r="N14" s="16"/>
      <c r="O14" s="8">
        <f>O13/O6-1</f>
        <v>2.4025212060604151E-2</v>
      </c>
      <c r="P14" s="8">
        <f>P13/P6-1</f>
        <v>4.3501082084044018E-2</v>
      </c>
      <c r="Q14" s="8"/>
    </row>
    <row r="15" spans="1:18">
      <c r="B15" s="3" t="str">
        <f>gb_wk!C8</f>
        <v>Q3</v>
      </c>
      <c r="C15" s="9" t="s">
        <v>89</v>
      </c>
      <c r="D15" s="15"/>
      <c r="E15" s="68">
        <f>gb_wk!D8</f>
        <v>79.137298520000002</v>
      </c>
      <c r="F15" s="16">
        <f>E15/O15</f>
        <v>0.98493861195957599</v>
      </c>
      <c r="G15" s="68">
        <f>gb_wk!E8</f>
        <v>80.785513089999995</v>
      </c>
      <c r="H15" s="16">
        <f>G15/P15</f>
        <v>0.98511500462427004</v>
      </c>
      <c r="I15" s="27"/>
      <c r="J15" s="68">
        <f>gb_wk!F8</f>
        <v>1.21014401</v>
      </c>
      <c r="K15" s="16">
        <f>J15/O15</f>
        <v>1.5061388040424043E-2</v>
      </c>
      <c r="L15" s="68">
        <f>gb_wk!G8</f>
        <v>1.2206615300000001</v>
      </c>
      <c r="M15" s="16">
        <f>L15/P15</f>
        <v>1.4884995375729917E-2</v>
      </c>
      <c r="N15" s="27"/>
      <c r="O15" s="68">
        <f>E15+J15</f>
        <v>80.347442529999995</v>
      </c>
      <c r="P15" s="68">
        <f>G15+L15</f>
        <v>82.006174619999996</v>
      </c>
      <c r="Q15" s="16">
        <f>P15/O15</f>
        <v>1.0206444914457691</v>
      </c>
    </row>
    <row r="16" spans="1:18">
      <c r="B16" s="9"/>
      <c r="C16" s="9" t="s">
        <v>91</v>
      </c>
      <c r="D16" s="15"/>
      <c r="E16" s="16">
        <f>E15/E7-1</f>
        <v>4.896463577926502E-3</v>
      </c>
      <c r="F16" s="16"/>
      <c r="G16" s="16">
        <f>G15/G7-1</f>
        <v>3.3300227568728857E-2</v>
      </c>
      <c r="H16" s="16"/>
      <c r="I16" s="16"/>
      <c r="J16" s="16">
        <f>J15/J7-1</f>
        <v>-9.1119411983681564E-2</v>
      </c>
      <c r="K16" s="16"/>
      <c r="L16" s="16">
        <f>L15/L7-1</f>
        <v>-8.6544641937300493E-2</v>
      </c>
      <c r="M16" s="16"/>
      <c r="N16" s="16"/>
      <c r="O16" s="16">
        <f>O15/O7-1</f>
        <v>3.3000990400351427E-3</v>
      </c>
      <c r="P16" s="16">
        <f>P15/P7-1</f>
        <v>3.1286224907090432E-2</v>
      </c>
      <c r="Q16" s="16"/>
    </row>
    <row r="17" spans="1:17" ht="16.149999999999999" customHeight="1">
      <c r="B17" s="3" t="str">
        <f>gb_wk!C9</f>
        <v>Q4</v>
      </c>
      <c r="C17" s="3" t="s">
        <v>89</v>
      </c>
      <c r="D17" s="15"/>
      <c r="E17" s="68">
        <f>gb_wk!D9</f>
        <v>78.435467450000004</v>
      </c>
      <c r="F17" s="8">
        <f>E17/O17</f>
        <v>0.98488331542002172</v>
      </c>
      <c r="G17" s="65">
        <f>gb_wk!E9</f>
        <v>79.574634380000006</v>
      </c>
      <c r="H17" s="8">
        <f>G17/P17</f>
        <v>0.9849527998231874</v>
      </c>
      <c r="I17" s="27"/>
      <c r="J17" s="68">
        <f>gb_wk!F9</f>
        <v>1.20388294</v>
      </c>
      <c r="K17" s="8">
        <f>J17/O17</f>
        <v>1.5116684579978275E-2</v>
      </c>
      <c r="L17" s="65">
        <f>gb_wk!G9</f>
        <v>1.21566785</v>
      </c>
      <c r="M17" s="8">
        <f>L17/P17</f>
        <v>1.5047200176812606E-2</v>
      </c>
      <c r="N17" s="36"/>
      <c r="O17" s="65">
        <f>E17+J17</f>
        <v>79.639350390000004</v>
      </c>
      <c r="P17" s="65">
        <f>G17+L17</f>
        <v>80.790302230000009</v>
      </c>
      <c r="Q17" s="8">
        <f>P17/O17</f>
        <v>1.0144520495755391</v>
      </c>
    </row>
    <row r="18" spans="1:17" ht="16.149999999999999" customHeight="1">
      <c r="B18" s="4"/>
      <c r="C18" s="4" t="s">
        <v>91</v>
      </c>
      <c r="D18" s="15"/>
      <c r="E18" s="13">
        <f>E17/E8-1</f>
        <v>-1.6901907880698452E-2</v>
      </c>
      <c r="F18" s="13"/>
      <c r="G18" s="13">
        <f>G17/G11-1</f>
        <v>0.12982123570504767</v>
      </c>
      <c r="H18" s="13"/>
      <c r="I18" s="27"/>
      <c r="J18" s="13">
        <f>J17/J8-1</f>
        <v>-0.16409137569623766</v>
      </c>
      <c r="K18" s="13"/>
      <c r="L18" s="13">
        <f>L17/L11-1</f>
        <v>0.1419183119338927</v>
      </c>
      <c r="M18" s="13"/>
      <c r="N18" s="27"/>
      <c r="O18" s="13">
        <f>O17/O8-1</f>
        <v>-1.9511765811476178E-2</v>
      </c>
      <c r="P18" s="13">
        <f>P17/P8-1</f>
        <v>4.113263460792238E-2</v>
      </c>
      <c r="Q18" s="13"/>
    </row>
    <row r="19" spans="1:17">
      <c r="B19" s="3" t="s">
        <v>90</v>
      </c>
      <c r="C19" s="3" t="s">
        <v>89</v>
      </c>
      <c r="D19" s="15"/>
      <c r="E19" s="65">
        <f>E15+E13+E11+E17</f>
        <v>308.73527122999997</v>
      </c>
      <c r="F19" s="8">
        <f>E19/O19</f>
        <v>0.98518295603618111</v>
      </c>
      <c r="G19" s="65">
        <f>G15+G13+G11+G17</f>
        <v>306.58159920999998</v>
      </c>
      <c r="H19" s="8">
        <f>G19/P19</f>
        <v>0.98495610650694798</v>
      </c>
      <c r="I19" s="27"/>
      <c r="J19" s="65">
        <f>J15+J13+J11+J17</f>
        <v>4.6433447299999999</v>
      </c>
      <c r="K19" s="8">
        <f>J19/O19</f>
        <v>1.4817043963818775E-2</v>
      </c>
      <c r="L19" s="65">
        <f>L15+L13+L11+L17</f>
        <v>4.68262585</v>
      </c>
      <c r="M19" s="8">
        <f>L19/P19</f>
        <v>1.5043893493051977E-2</v>
      </c>
      <c r="N19" s="27"/>
      <c r="O19" s="65">
        <f>O15+O13+O11+O17</f>
        <v>313.37861595999999</v>
      </c>
      <c r="P19" s="65">
        <f>P15+P13+P11+P17</f>
        <v>311.26422506</v>
      </c>
      <c r="Q19" s="8">
        <f>P19/O19</f>
        <v>0.99325291901771029</v>
      </c>
    </row>
    <row r="20" spans="1:17">
      <c r="A20" s="4"/>
      <c r="B20" s="4"/>
      <c r="C20" s="4" t="s">
        <v>91</v>
      </c>
      <c r="D20" s="15"/>
      <c r="E20" s="13">
        <f>E19/E9-1</f>
        <v>1.024090896921992E-2</v>
      </c>
      <c r="F20" s="13"/>
      <c r="G20" s="13">
        <f t="shared" ref="G20:P20" si="0">G19/G9-1</f>
        <v>4.144454679390952E-2</v>
      </c>
      <c r="H20" s="13"/>
      <c r="I20" s="13"/>
      <c r="J20" s="13">
        <f t="shared" si="0"/>
        <v>-7.6897122498380877E-2</v>
      </c>
      <c r="K20" s="13"/>
      <c r="L20" s="13">
        <f t="shared" si="0"/>
        <v>-7.0845052433676781E-2</v>
      </c>
      <c r="M20" s="13"/>
      <c r="N20" s="13"/>
      <c r="O20" s="13">
        <f t="shared" si="0"/>
        <v>8.8298760545646449E-3</v>
      </c>
      <c r="P20" s="13">
        <f t="shared" si="0"/>
        <v>3.9554559321106186E-2</v>
      </c>
      <c r="Q20" s="13"/>
    </row>
    <row r="21" spans="1:17">
      <c r="A21" s="91">
        <f>gb_wk!B42</f>
        <v>2006</v>
      </c>
      <c r="B21" s="91"/>
      <c r="C21" s="91"/>
      <c r="D21" s="15"/>
      <c r="E21" s="63"/>
      <c r="F21" s="64"/>
      <c r="G21" s="63"/>
      <c r="H21" s="64"/>
      <c r="I21" s="63"/>
      <c r="J21" s="63"/>
      <c r="K21" s="64"/>
      <c r="L21" s="63"/>
      <c r="M21" s="64"/>
      <c r="N21" s="63"/>
      <c r="O21" s="63"/>
      <c r="P21" s="63"/>
      <c r="Q21" s="64"/>
    </row>
    <row r="22" spans="1:17">
      <c r="A22" s="15"/>
      <c r="B22" s="9" t="str">
        <f>gb_wk!C42</f>
        <v>Q1</v>
      </c>
      <c r="C22" s="9" t="s">
        <v>89</v>
      </c>
      <c r="D22" s="15"/>
      <c r="E22" s="68">
        <f>gb_wk!D42</f>
        <v>74.665572260000005</v>
      </c>
      <c r="F22" s="16">
        <f>E22/O22</f>
        <v>0.98043913205848265</v>
      </c>
      <c r="G22" s="68">
        <f>gb_wk!E42</f>
        <v>71.648357520000005</v>
      </c>
      <c r="H22" s="16">
        <f>G22/P22</f>
        <v>0.97868199184173355</v>
      </c>
      <c r="I22" s="27"/>
      <c r="J22" s="68">
        <f>gb_wk!F42</f>
        <v>1.48966249</v>
      </c>
      <c r="K22" s="16">
        <f>J22/O22</f>
        <v>1.9560867941517308E-2</v>
      </c>
      <c r="L22" s="68">
        <f>gb_wk!G42</f>
        <v>1.56067066</v>
      </c>
      <c r="M22" s="16">
        <f>L22/P22</f>
        <v>2.1318008158266469E-2</v>
      </c>
      <c r="N22" s="27"/>
      <c r="O22" s="68">
        <f>E22+J22</f>
        <v>76.155234750000005</v>
      </c>
      <c r="P22" s="68">
        <f>G22+L22</f>
        <v>73.209028180000004</v>
      </c>
      <c r="Q22" s="16">
        <f>P22/O22</f>
        <v>0.96131314439943993</v>
      </c>
    </row>
    <row r="23" spans="1:17">
      <c r="A23" s="9"/>
      <c r="B23" s="9"/>
      <c r="C23" s="9" t="s">
        <v>91</v>
      </c>
      <c r="D23" s="15"/>
      <c r="E23" s="16">
        <f>E22/E11-1</f>
        <v>1.3810554465086611E-2</v>
      </c>
      <c r="F23" s="16"/>
      <c r="G23" s="16">
        <f>G22/G11-1</f>
        <v>1.7281907233356764E-2</v>
      </c>
      <c r="H23" s="16"/>
      <c r="I23" s="16"/>
      <c r="J23" s="16">
        <f>J22/J11-1</f>
        <v>0.40724469929048768</v>
      </c>
      <c r="K23" s="16"/>
      <c r="L23" s="16">
        <f>L22/L11-1</f>
        <v>0.46599122906142032</v>
      </c>
      <c r="M23" s="16"/>
      <c r="N23" s="16"/>
      <c r="O23" s="16">
        <f>O22/O11-1</f>
        <v>1.9385349898788595E-2</v>
      </c>
      <c r="P23" s="16">
        <f>P22/P11-1</f>
        <v>2.3963264892195912E-2</v>
      </c>
      <c r="Q23" s="16"/>
    </row>
    <row r="24" spans="1:17">
      <c r="B24" s="3" t="str">
        <f>gb_wk!C47</f>
        <v>Q2</v>
      </c>
      <c r="C24" s="3" t="s">
        <v>89</v>
      </c>
      <c r="D24" s="15"/>
      <c r="E24" s="65">
        <f>gb_wk!D47</f>
        <v>77.648171939999997</v>
      </c>
      <c r="F24" s="8">
        <f>E24/O24</f>
        <v>0.9773223996073358</v>
      </c>
      <c r="G24" s="65">
        <f>gb_wk!E47</f>
        <v>76.959513790000003</v>
      </c>
      <c r="H24" s="8">
        <f>G24/P24</f>
        <v>0.9752178855582283</v>
      </c>
      <c r="I24" s="27"/>
      <c r="J24" s="65">
        <f>gb_wk!F47</f>
        <v>1.8017331999999999</v>
      </c>
      <c r="K24" s="8">
        <f>J24/O24</f>
        <v>2.267760039266423E-2</v>
      </c>
      <c r="L24" s="65">
        <f>gb_wk!G47</f>
        <v>1.9556855</v>
      </c>
      <c r="M24" s="8">
        <f>L24/P24</f>
        <v>2.478211444177169E-2</v>
      </c>
      <c r="N24" s="27"/>
      <c r="O24" s="65">
        <f>E24+J24</f>
        <v>79.449905139999998</v>
      </c>
      <c r="P24" s="65">
        <f>G24+L24</f>
        <v>78.915199290000004</v>
      </c>
      <c r="Q24" s="8">
        <f>P24/O24</f>
        <v>0.99326989945352628</v>
      </c>
    </row>
    <row r="25" spans="1:17">
      <c r="A25" s="9"/>
      <c r="B25" s="9"/>
      <c r="C25" s="9" t="s">
        <v>91</v>
      </c>
      <c r="D25" s="15"/>
      <c r="E25" s="16">
        <f>E24/E13-1</f>
        <v>1.7301772341404842E-3</v>
      </c>
      <c r="F25" s="16"/>
      <c r="G25" s="16">
        <f>G24/G13-1</f>
        <v>1.5427236740483519E-2</v>
      </c>
      <c r="H25" s="16"/>
      <c r="I25" s="16"/>
      <c r="J25" s="16">
        <f>J24/J13-1</f>
        <v>0.5389550809693946</v>
      </c>
      <c r="K25" s="16"/>
      <c r="L25" s="16">
        <f>L24/L13-1</f>
        <v>0.65495870116706989</v>
      </c>
      <c r="M25" s="16"/>
      <c r="N25" s="16"/>
      <c r="O25" s="16">
        <f>O24/O13-1</f>
        <v>9.7235446227401656E-3</v>
      </c>
      <c r="P25" s="16">
        <f>P24/P13-1</f>
        <v>2.5245644098103259E-2</v>
      </c>
      <c r="Q25" s="16"/>
    </row>
    <row r="26" spans="1:17">
      <c r="B26" s="3" t="str">
        <f>gb_wk!C53</f>
        <v>Q3</v>
      </c>
      <c r="C26" s="9" t="s">
        <v>89</v>
      </c>
      <c r="D26" s="15"/>
      <c r="E26" s="68">
        <f>gb_wk!D53</f>
        <v>81.612413790000005</v>
      </c>
      <c r="F26" s="16">
        <f>E26/O26</f>
        <v>0.98168864121779931</v>
      </c>
      <c r="G26" s="68">
        <f>gb_wk!E53</f>
        <v>82.480648299999999</v>
      </c>
      <c r="H26" s="16">
        <f>G26/P26</f>
        <v>0.98121727365656419</v>
      </c>
      <c r="I26" s="27"/>
      <c r="J26" s="68">
        <f>gb_wk!F53</f>
        <v>1.52230975</v>
      </c>
      <c r="K26" s="16">
        <f>J26/O26</f>
        <v>1.8311358782200624E-2</v>
      </c>
      <c r="L26" s="68">
        <f>gb_wk!G53</f>
        <v>1.5788668699999999</v>
      </c>
      <c r="M26" s="16">
        <f>L26/P26</f>
        <v>1.8782726343435797E-2</v>
      </c>
      <c r="N26" s="27"/>
      <c r="O26" s="68">
        <f>E26+J26</f>
        <v>83.13472354000001</v>
      </c>
      <c r="P26" s="68">
        <f>G26+L26</f>
        <v>84.059515169999997</v>
      </c>
      <c r="Q26" s="16">
        <f>P26/O26</f>
        <v>1.0111240116117668</v>
      </c>
    </row>
    <row r="27" spans="1:17">
      <c r="A27" s="9"/>
      <c r="B27" s="9"/>
      <c r="C27" s="9" t="s">
        <v>91</v>
      </c>
      <c r="D27" s="15"/>
      <c r="E27" s="16">
        <f>E26/E15-1</f>
        <v>3.1276216351692643E-2</v>
      </c>
      <c r="F27" s="16"/>
      <c r="G27" s="16">
        <f>G26/G15-1</f>
        <v>2.0983158306013605E-2</v>
      </c>
      <c r="H27" s="16"/>
      <c r="I27" s="16"/>
      <c r="J27" s="16">
        <f>J26/J15-1</f>
        <v>0.25795751366814601</v>
      </c>
      <c r="K27" s="16"/>
      <c r="L27" s="16">
        <f>L26/L15-1</f>
        <v>0.29345181378821672</v>
      </c>
      <c r="M27" s="16"/>
      <c r="N27" s="16"/>
      <c r="O27" s="16">
        <f>O26/O15-1</f>
        <v>3.4690351332082647E-2</v>
      </c>
      <c r="P27" s="16">
        <f>P26/P15-1</f>
        <v>2.5038852982897541E-2</v>
      </c>
      <c r="Q27" s="16"/>
    </row>
    <row r="28" spans="1:17" ht="16.149999999999999" customHeight="1">
      <c r="B28" s="3" t="str">
        <f>gb_wk!C59</f>
        <v>Q4</v>
      </c>
      <c r="C28" s="3" t="s">
        <v>89</v>
      </c>
      <c r="D28" s="15"/>
      <c r="E28" s="68">
        <f>gb_wk!D59</f>
        <v>79.358275000000006</v>
      </c>
      <c r="F28" s="8">
        <f>E28/O28</f>
        <v>0.97814455350737739</v>
      </c>
      <c r="G28" s="68">
        <f>gb_wk!E59</f>
        <v>79.225781850000004</v>
      </c>
      <c r="H28" s="8">
        <f>G28/P28</f>
        <v>0.97638390120397101</v>
      </c>
      <c r="I28" s="27"/>
      <c r="J28" s="68">
        <f>gb_wk!F59</f>
        <v>1.7731638199999999</v>
      </c>
      <c r="K28" s="8">
        <f>J28/O28</f>
        <v>2.1855446492622672E-2</v>
      </c>
      <c r="L28" s="68">
        <f>gb_wk!G59</f>
        <v>1.91625844</v>
      </c>
      <c r="M28" s="8">
        <f>L28/P28</f>
        <v>2.3616098796028929E-2</v>
      </c>
      <c r="N28" s="36"/>
      <c r="O28" s="65">
        <f>E28+J28</f>
        <v>81.13143882</v>
      </c>
      <c r="P28" s="65">
        <f>G28+L28</f>
        <v>81.142040290000011</v>
      </c>
      <c r="Q28" s="8">
        <f>P28/O28</f>
        <v>1.0001306703067787</v>
      </c>
    </row>
    <row r="29" spans="1:17" ht="16.149999999999999" customHeight="1">
      <c r="B29" s="4"/>
      <c r="C29" s="4" t="s">
        <v>91</v>
      </c>
      <c r="D29" s="15"/>
      <c r="E29" s="13">
        <f>E28/E17-1</f>
        <v>1.1765182002494656E-2</v>
      </c>
      <c r="F29" s="13"/>
      <c r="G29" s="13">
        <f>G28/G17-1</f>
        <v>-4.3839664827625136E-3</v>
      </c>
      <c r="H29" s="13"/>
      <c r="I29" s="27"/>
      <c r="J29" s="13">
        <f>J28/J17-1</f>
        <v>0.47287062644147104</v>
      </c>
      <c r="K29" s="13"/>
      <c r="L29" s="13">
        <f>L28/L17-1</f>
        <v>0.57630099372949606</v>
      </c>
      <c r="M29" s="13"/>
      <c r="N29" s="27"/>
      <c r="O29" s="13">
        <f>O28/O17-1</f>
        <v>1.873556756418937E-2</v>
      </c>
      <c r="P29" s="13">
        <f>P28/P17-1</f>
        <v>4.3537163532159084E-3</v>
      </c>
      <c r="Q29" s="13"/>
    </row>
    <row r="30" spans="1:17">
      <c r="B30" s="3" t="s">
        <v>90</v>
      </c>
      <c r="C30" s="3" t="s">
        <v>89</v>
      </c>
      <c r="D30" s="15"/>
      <c r="E30" s="68">
        <f>E26+E24+E22+E28</f>
        <v>313.28443299000003</v>
      </c>
      <c r="F30" s="8">
        <f>E30/O30</f>
        <v>0.97940775176245132</v>
      </c>
      <c r="G30" s="68">
        <f>G26+G24+G22+G28</f>
        <v>310.31430146000002</v>
      </c>
      <c r="H30" s="8">
        <f>G30/P30</f>
        <v>0.97790446964233391</v>
      </c>
      <c r="I30" s="27"/>
      <c r="J30" s="68">
        <f>J26+J24+J22+J28</f>
        <v>6.5868692599999994</v>
      </c>
      <c r="K30" s="8">
        <f>J30/O30</f>
        <v>2.0592248237548794E-2</v>
      </c>
      <c r="L30" s="68">
        <f>L26+L24+L22+L28</f>
        <v>7.0114814699999997</v>
      </c>
      <c r="M30" s="8">
        <f>L30/P30</f>
        <v>2.2095530357666166E-2</v>
      </c>
      <c r="N30" s="27"/>
      <c r="O30" s="65">
        <f>O26+O24+O22+O28</f>
        <v>319.87130224999999</v>
      </c>
      <c r="P30" s="65">
        <f>P26+P24+P22+P28</f>
        <v>317.32578293</v>
      </c>
      <c r="Q30" s="8">
        <f>P30/O30</f>
        <v>0.99204205159357972</v>
      </c>
    </row>
    <row r="31" spans="1:17">
      <c r="A31" s="4"/>
      <c r="B31" s="4"/>
      <c r="C31" s="4" t="s">
        <v>91</v>
      </c>
      <c r="D31" s="15"/>
      <c r="E31" s="13">
        <f>E30/E19-1</f>
        <v>1.4734830075864735E-2</v>
      </c>
      <c r="F31" s="13"/>
      <c r="G31" s="13">
        <f>G30/G19-1</f>
        <v>1.2175232498031541E-2</v>
      </c>
      <c r="H31" s="13"/>
      <c r="I31" s="13"/>
      <c r="J31" s="13">
        <f>J30/J19-1</f>
        <v>0.41856132658924938</v>
      </c>
      <c r="K31" s="13"/>
      <c r="L31" s="13">
        <f>L30/L19-1</f>
        <v>0.49733967534476409</v>
      </c>
      <c r="M31" s="13"/>
      <c r="N31" s="13"/>
      <c r="O31" s="13">
        <f>O30/O19-1</f>
        <v>2.0718345028458263E-2</v>
      </c>
      <c r="P31" s="13">
        <f>P30/P19-1</f>
        <v>1.9473994702833508E-2</v>
      </c>
      <c r="Q31" s="13"/>
    </row>
    <row r="32" spans="1:17">
      <c r="A32" s="9"/>
      <c r="B32" s="9"/>
      <c r="C32" s="9"/>
      <c r="D32" s="15"/>
      <c r="E32" s="16"/>
      <c r="F32" s="16"/>
      <c r="G32" s="16"/>
      <c r="H32" s="16"/>
      <c r="I32" s="16"/>
      <c r="J32" s="16"/>
      <c r="K32" s="16"/>
      <c r="L32" s="16"/>
      <c r="M32" s="16"/>
      <c r="N32" s="16"/>
      <c r="O32" s="16"/>
      <c r="P32" s="16"/>
      <c r="Q32" s="16"/>
    </row>
    <row r="33" spans="1:17">
      <c r="A33" s="34" t="str">
        <f>說明!B18</f>
        <v>1.</v>
      </c>
      <c r="B33" s="34" t="str">
        <f>說明!C18</f>
        <v>資料來源：總額各案件核定醫療費用分攤明細(PHFB_DECIDE_DIST)</v>
      </c>
      <c r="C33" s="9"/>
      <c r="D33" s="15"/>
      <c r="E33" s="16"/>
      <c r="F33" s="16"/>
      <c r="G33" s="16"/>
      <c r="H33" s="16"/>
      <c r="I33" s="16"/>
      <c r="J33" s="16"/>
      <c r="K33" s="16"/>
      <c r="L33" s="16"/>
      <c r="M33" s="16"/>
      <c r="N33" s="16"/>
      <c r="O33" s="16"/>
      <c r="P33" s="16"/>
      <c r="Q33" s="16"/>
    </row>
    <row r="34" spans="1:17">
      <c r="A34" s="34" t="str">
        <f>說明!B19</f>
        <v>2.</v>
      </c>
      <c r="B34" s="34" t="str">
        <f>說明!C19</f>
        <v>資料處理：</v>
      </c>
      <c r="C34" s="9"/>
      <c r="D34" s="15"/>
      <c r="E34" s="16"/>
      <c r="F34" s="16"/>
      <c r="G34" s="16"/>
      <c r="H34" s="16"/>
      <c r="I34" s="16"/>
      <c r="J34" s="16"/>
      <c r="K34" s="16"/>
      <c r="L34" s="16"/>
      <c r="M34" s="16"/>
      <c r="N34" s="16"/>
      <c r="O34" s="16"/>
      <c r="P34" s="16"/>
      <c r="Q34" s="16"/>
    </row>
    <row r="35" spans="1:17">
      <c r="A35" s="34"/>
      <c r="B35" s="34" t="str">
        <f>說明!C20</f>
        <v>※本表僅含當季核定之送核、補報資料</v>
      </c>
      <c r="C35" s="9"/>
      <c r="D35" s="15"/>
      <c r="E35" s="16"/>
      <c r="F35" s="16"/>
      <c r="G35" s="16"/>
      <c r="H35" s="16"/>
      <c r="I35" s="16"/>
      <c r="J35" s="16"/>
      <c r="K35" s="16"/>
      <c r="L35" s="16"/>
      <c r="M35" s="16"/>
      <c r="N35" s="16"/>
      <c r="O35" s="16"/>
      <c r="P35" s="16"/>
      <c r="Q35" s="16"/>
    </row>
    <row r="36" spans="1:17">
      <c r="A36" s="34"/>
      <c r="B36" s="34" t="str">
        <f>說明!C21</f>
        <v>※本表不含申複、爭議審議等之核定醫療點數及費用</v>
      </c>
      <c r="C36" s="9"/>
      <c r="D36" s="15"/>
      <c r="E36" s="16"/>
      <c r="F36" s="16"/>
      <c r="G36" s="16"/>
      <c r="H36" s="16"/>
      <c r="I36" s="16"/>
      <c r="J36" s="16"/>
      <c r="K36" s="16"/>
      <c r="L36" s="16"/>
      <c r="M36" s="16"/>
      <c r="N36" s="16"/>
      <c r="O36" s="16"/>
      <c r="P36" s="16"/>
      <c r="Q36" s="16"/>
    </row>
    <row r="37" spans="1:17">
      <c r="A37" s="34"/>
      <c r="B37" s="34" t="str">
        <f>說明!C22</f>
        <v>※本表不含代辦、總額外及追扣、補付付款之項目</v>
      </c>
      <c r="C37" s="9"/>
      <c r="D37" s="15"/>
      <c r="E37" s="16"/>
      <c r="F37" s="16"/>
      <c r="G37" s="16"/>
      <c r="H37" s="16"/>
      <c r="I37" s="16"/>
      <c r="J37" s="16"/>
      <c r="K37" s="16"/>
      <c r="L37" s="16"/>
      <c r="M37" s="16"/>
      <c r="N37" s="16"/>
      <c r="O37" s="16"/>
      <c r="P37" s="16"/>
      <c r="Q37" s="16"/>
    </row>
    <row r="38" spans="1:17">
      <c r="A38" s="34"/>
      <c r="B38" s="34" t="str">
        <f>說明!C23</f>
        <v>※本表所謂浮動點值部分係指各總額別中一般部門預算之浮動點值部份</v>
      </c>
      <c r="C38" s="9"/>
      <c r="D38" s="15"/>
      <c r="E38" s="16"/>
      <c r="F38" s="16"/>
      <c r="G38" s="16"/>
      <c r="H38" s="16"/>
      <c r="I38" s="16"/>
      <c r="J38" s="16"/>
      <c r="K38" s="16"/>
      <c r="L38" s="16"/>
      <c r="M38" s="16"/>
      <c r="N38" s="16"/>
      <c r="O38" s="16"/>
      <c r="P38" s="16"/>
      <c r="Q38" s="16"/>
    </row>
    <row r="39" spans="1:17">
      <c r="A39" s="34"/>
      <c r="B39" s="34" t="str">
        <f>說明!C24</f>
        <v>※本表所謂固定點值部分係指各總額別中一般部門預算之非浮動點值及專款部份</v>
      </c>
      <c r="C39" s="9"/>
      <c r="D39" s="15"/>
      <c r="E39" s="16"/>
      <c r="F39" s="16"/>
      <c r="G39" s="16"/>
      <c r="H39" s="16"/>
      <c r="I39" s="16"/>
      <c r="J39" s="16"/>
      <c r="K39" s="16"/>
      <c r="L39" s="16"/>
      <c r="M39" s="16"/>
      <c r="N39" s="16"/>
      <c r="O39" s="16"/>
      <c r="P39" s="16"/>
      <c r="Q39" s="16"/>
    </row>
    <row r="40" spans="1:17">
      <c r="A40" s="34"/>
      <c r="B40" s="34" t="str">
        <f>說明!C25</f>
        <v>※層級別中不含處方釋出之醫療點數及費用</v>
      </c>
    </row>
    <row r="41" spans="1:17">
      <c r="A41" s="34"/>
      <c r="B41" s="34"/>
    </row>
    <row r="42" spans="1:17">
      <c r="A42" s="34"/>
      <c r="B42" s="34"/>
    </row>
    <row r="43" spans="1:17">
      <c r="A43" s="34"/>
      <c r="B43" s="34"/>
    </row>
  </sheetData>
  <mergeCells count="7">
    <mergeCell ref="A21:C21"/>
    <mergeCell ref="A1:Q1"/>
    <mergeCell ref="O2:Q2"/>
    <mergeCell ref="A4:C4"/>
    <mergeCell ref="A10:C10"/>
    <mergeCell ref="E2:H2"/>
    <mergeCell ref="J2:M2"/>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89"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Sheet9">
    <pageSetUpPr fitToPage="1"/>
  </sheetPr>
  <dimension ref="A1:S43"/>
  <sheetViews>
    <sheetView showGridLines="0" topLeftCell="F1" zoomScale="75" workbookViewId="0">
      <pane ySplit="1" topLeftCell="A8" activePane="bottomLeft" state="frozen"/>
      <selection sqref="A1:D1"/>
      <selection pane="bottomLeft" activeCell="S9" sqref="S9"/>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1.875" style="3" customWidth="1"/>
    <col min="6" max="6" width="11.25" style="3" bestFit="1" customWidth="1"/>
    <col min="7" max="7" width="14.25" style="3" bestFit="1" customWidth="1"/>
    <col min="8" max="8" width="11.25" style="3" bestFit="1" customWidth="1"/>
    <col min="9" max="9" width="1.875" style="3" customWidth="1"/>
    <col min="10" max="10" width="22.75" style="3" bestFit="1" customWidth="1"/>
    <col min="11" max="11" width="11.25" style="3" bestFit="1" customWidth="1"/>
    <col min="12" max="12" width="15.5" style="3" bestFit="1" customWidth="1"/>
    <col min="13" max="13" width="11.25" style="3" bestFit="1" customWidth="1"/>
    <col min="14" max="14" width="2.25" style="3" customWidth="1"/>
    <col min="15" max="15" width="11.75" style="3" customWidth="1"/>
    <col min="16" max="16" width="14.25" style="3" bestFit="1" customWidth="1"/>
    <col min="17" max="17" width="11.625" style="3" bestFit="1" customWidth="1"/>
    <col min="18" max="16384" width="8.875" style="2"/>
  </cols>
  <sheetData>
    <row r="1" spans="1:19" ht="40.9" customHeight="1">
      <c r="A1" s="89" t="s">
        <v>201</v>
      </c>
      <c r="B1" s="89"/>
      <c r="C1" s="89"/>
      <c r="D1" s="89"/>
      <c r="E1" s="89"/>
      <c r="F1" s="89"/>
      <c r="G1" s="89"/>
      <c r="H1" s="89"/>
      <c r="I1" s="89"/>
      <c r="J1" s="89"/>
      <c r="K1" s="89"/>
      <c r="L1" s="89"/>
      <c r="M1" s="89"/>
      <c r="N1" s="89"/>
      <c r="O1" s="89"/>
      <c r="P1" s="89"/>
      <c r="Q1" s="89"/>
    </row>
    <row r="2" spans="1:19" s="3" customFormat="1">
      <c r="E2" s="90" t="s">
        <v>82</v>
      </c>
      <c r="F2" s="90"/>
      <c r="G2" s="90"/>
      <c r="H2" s="90"/>
      <c r="J2" s="90" t="s">
        <v>83</v>
      </c>
      <c r="K2" s="90"/>
      <c r="L2" s="90"/>
      <c r="M2" s="90"/>
      <c r="O2" s="90" t="s">
        <v>84</v>
      </c>
      <c r="P2" s="90"/>
      <c r="Q2" s="90"/>
    </row>
    <row r="3" spans="1:19" s="3" customFormat="1" ht="33">
      <c r="A3" s="4" t="s">
        <v>85</v>
      </c>
      <c r="B3" s="4" t="s">
        <v>86</v>
      </c>
      <c r="C3" s="4" t="s">
        <v>87</v>
      </c>
      <c r="E3" s="5" t="s">
        <v>218</v>
      </c>
      <c r="F3" s="6" t="s">
        <v>88</v>
      </c>
      <c r="G3" s="35" t="s">
        <v>219</v>
      </c>
      <c r="H3" s="6" t="s">
        <v>88</v>
      </c>
      <c r="J3" s="5" t="s">
        <v>218</v>
      </c>
      <c r="K3" s="6" t="s">
        <v>88</v>
      </c>
      <c r="L3" s="35" t="s">
        <v>219</v>
      </c>
      <c r="M3" s="6" t="s">
        <v>88</v>
      </c>
      <c r="O3" s="5" t="s">
        <v>220</v>
      </c>
      <c r="P3" s="35" t="s">
        <v>221</v>
      </c>
      <c r="Q3" s="35" t="s">
        <v>216</v>
      </c>
    </row>
    <row r="4" spans="1:19">
      <c r="A4" s="88">
        <f>gb_wk!B10</f>
        <v>2004</v>
      </c>
      <c r="B4" s="88"/>
      <c r="C4" s="88"/>
      <c r="D4" s="9"/>
      <c r="E4" s="10"/>
      <c r="F4" s="9"/>
      <c r="G4" s="9"/>
      <c r="H4" s="9"/>
      <c r="I4" s="9"/>
      <c r="J4" s="10"/>
      <c r="K4" s="9"/>
      <c r="L4" s="9"/>
      <c r="M4" s="9"/>
      <c r="N4" s="9"/>
      <c r="O4" s="10"/>
      <c r="P4" s="9"/>
      <c r="Q4" s="9"/>
    </row>
    <row r="5" spans="1:19">
      <c r="A5" s="2"/>
      <c r="B5" s="3" t="str">
        <f>gb_wk!C10</f>
        <v>Q1</v>
      </c>
      <c r="C5" s="3" t="s">
        <v>89</v>
      </c>
      <c r="D5" s="15"/>
      <c r="E5" s="65">
        <f>gb_wk!D10</f>
        <v>28.60963185</v>
      </c>
      <c r="F5" s="8">
        <f>E5/O5</f>
        <v>0.7094910785979418</v>
      </c>
      <c r="G5" s="65">
        <f>gb_wk!E10</f>
        <v>28.666531070000001</v>
      </c>
      <c r="H5" s="8">
        <f>G5/P5</f>
        <v>0.70990042226809513</v>
      </c>
      <c r="I5" s="16"/>
      <c r="J5" s="65">
        <f>gb_wk!F10</f>
        <v>11.71452826</v>
      </c>
      <c r="K5" s="8">
        <f>J5/O5</f>
        <v>0.2905089214020582</v>
      </c>
      <c r="L5" s="65">
        <f>gb_wk!G10</f>
        <v>11.71452826</v>
      </c>
      <c r="M5" s="8">
        <f>L5/P5</f>
        <v>0.29009957773190492</v>
      </c>
      <c r="N5" s="16"/>
      <c r="O5" s="65">
        <f>E5+J5</f>
        <v>40.324160110000001</v>
      </c>
      <c r="P5" s="65">
        <f>G5+L5</f>
        <v>40.381059329999999</v>
      </c>
      <c r="Q5" s="8">
        <f>P5/O5</f>
        <v>1.001411045384325</v>
      </c>
    </row>
    <row r="6" spans="1:19">
      <c r="B6" s="3" t="str">
        <f>gb_wk!C11</f>
        <v>Q2</v>
      </c>
      <c r="C6" s="3" t="s">
        <v>89</v>
      </c>
      <c r="D6" s="15"/>
      <c r="E6" s="65">
        <f>gb_wk!D11</f>
        <v>33.325624509999997</v>
      </c>
      <c r="F6" s="8">
        <f>E6/O6</f>
        <v>0.71656477983397882</v>
      </c>
      <c r="G6" s="65">
        <f>gb_wk!E11</f>
        <v>28.398363360000001</v>
      </c>
      <c r="H6" s="8">
        <f>G6/P6</f>
        <v>0.68297767332850412</v>
      </c>
      <c r="I6" s="27"/>
      <c r="J6" s="65">
        <f>gb_wk!F11</f>
        <v>13.181858760000001</v>
      </c>
      <c r="K6" s="8">
        <f>J6/O6</f>
        <v>0.2834352201660213</v>
      </c>
      <c r="L6" s="65">
        <f>gb_wk!G11</f>
        <v>13.181858760000001</v>
      </c>
      <c r="M6" s="8">
        <f>L6/P6</f>
        <v>0.31702232667149594</v>
      </c>
      <c r="N6" s="27"/>
      <c r="O6" s="65">
        <f>E6+J6</f>
        <v>46.507483269999994</v>
      </c>
      <c r="P6" s="65">
        <f>G6+L6</f>
        <v>41.580222120000002</v>
      </c>
      <c r="Q6" s="8">
        <f>P6/O6</f>
        <v>0.89405444449886284</v>
      </c>
    </row>
    <row r="7" spans="1:19">
      <c r="B7" s="3" t="str">
        <f>gb_wk!C12</f>
        <v>Q3</v>
      </c>
      <c r="C7" s="3" t="s">
        <v>89</v>
      </c>
      <c r="D7" s="15"/>
      <c r="E7" s="65">
        <f>gb_wk!D12</f>
        <v>33.656817230000001</v>
      </c>
      <c r="F7" s="8">
        <f>E7/O7</f>
        <v>0.71102629163353626</v>
      </c>
      <c r="G7" s="65">
        <f>gb_wk!E12</f>
        <v>27.36254795</v>
      </c>
      <c r="H7" s="8">
        <f>G7/P7</f>
        <v>0.6667080220247763</v>
      </c>
      <c r="I7" s="27"/>
      <c r="J7" s="65">
        <f>gb_wk!F12</f>
        <v>13.678728059999999</v>
      </c>
      <c r="K7" s="8">
        <f>J7/O7</f>
        <v>0.2889737083664638</v>
      </c>
      <c r="L7" s="65">
        <f>gb_wk!G12</f>
        <v>13.678728059999999</v>
      </c>
      <c r="M7" s="8">
        <f>L7/P7</f>
        <v>0.33329197797522381</v>
      </c>
      <c r="N7" s="27"/>
      <c r="O7" s="65">
        <f>E7+J7</f>
        <v>47.335545289999999</v>
      </c>
      <c r="P7" s="65">
        <f>G7+L7</f>
        <v>41.041276009999997</v>
      </c>
      <c r="Q7" s="8">
        <f>P7/O7</f>
        <v>0.86702869394577953</v>
      </c>
    </row>
    <row r="8" spans="1:19">
      <c r="B8" s="4" t="str">
        <f>gb_wk!C13</f>
        <v>Q4</v>
      </c>
      <c r="C8" s="4" t="s">
        <v>89</v>
      </c>
      <c r="D8" s="15"/>
      <c r="E8" s="66">
        <f>gb_wk!D13</f>
        <v>35.243471919999998</v>
      </c>
      <c r="F8" s="13">
        <f>E8/O8</f>
        <v>0.70703348193840776</v>
      </c>
      <c r="G8" s="66">
        <f>gb_wk!E13</f>
        <v>29.393967409999998</v>
      </c>
      <c r="H8" s="13">
        <f>G8/P8</f>
        <v>0.66808330114041337</v>
      </c>
      <c r="I8" s="27"/>
      <c r="J8" s="66">
        <f>gb_wk!F13</f>
        <v>14.603491229999999</v>
      </c>
      <c r="K8" s="13">
        <f>J8/O8</f>
        <v>0.2929665180615923</v>
      </c>
      <c r="L8" s="66">
        <f>gb_wk!G13</f>
        <v>14.603491229999999</v>
      </c>
      <c r="M8" s="13">
        <f>L8/P8</f>
        <v>0.33191669885958669</v>
      </c>
      <c r="N8" s="27"/>
      <c r="O8" s="66">
        <f>E8+J8</f>
        <v>49.846963149999993</v>
      </c>
      <c r="P8" s="66">
        <f>G8+L8</f>
        <v>43.997458639999998</v>
      </c>
      <c r="Q8" s="13">
        <f>P8/O8</f>
        <v>0.88265073456134913</v>
      </c>
    </row>
    <row r="9" spans="1:19">
      <c r="A9" s="4"/>
      <c r="B9" s="4" t="s">
        <v>90</v>
      </c>
      <c r="C9" s="4" t="s">
        <v>89</v>
      </c>
      <c r="D9" s="15"/>
      <c r="E9" s="66">
        <f>SUM(E5:E8)</f>
        <v>130.83554551</v>
      </c>
      <c r="F9" s="13">
        <f>E9/O9</f>
        <v>0.71100806223850355</v>
      </c>
      <c r="G9" s="66">
        <f>SUM(G5:G8)</f>
        <v>113.82140979</v>
      </c>
      <c r="H9" s="13">
        <f>G9/P9</f>
        <v>0.68156526237604365</v>
      </c>
      <c r="I9" s="27"/>
      <c r="J9" s="66">
        <f>SUM(J5:J8)</f>
        <v>53.178606309999992</v>
      </c>
      <c r="K9" s="13">
        <f>J9/O9</f>
        <v>0.2889919377614964</v>
      </c>
      <c r="L9" s="66">
        <f>SUM(L5:L8)</f>
        <v>53.178606309999992</v>
      </c>
      <c r="M9" s="13">
        <f>L9/P9</f>
        <v>0.31843473762395641</v>
      </c>
      <c r="N9" s="27"/>
      <c r="O9" s="66">
        <f>SUM(O5:O8)</f>
        <v>184.01415182</v>
      </c>
      <c r="P9" s="66">
        <f>SUM(P5:P8)</f>
        <v>167.00001609999998</v>
      </c>
      <c r="Q9" s="13">
        <f>P9/O9</f>
        <v>0.90753898245476794</v>
      </c>
      <c r="S9" s="83"/>
    </row>
    <row r="10" spans="1:19">
      <c r="A10" s="88">
        <f>gb_wk!B14</f>
        <v>2005</v>
      </c>
      <c r="B10" s="88"/>
      <c r="C10" s="88"/>
      <c r="D10" s="15"/>
      <c r="E10" s="7"/>
      <c r="F10" s="8"/>
      <c r="G10" s="7"/>
      <c r="H10" s="8"/>
      <c r="I10" s="27"/>
      <c r="J10" s="7"/>
      <c r="K10" s="8"/>
      <c r="L10" s="7"/>
      <c r="M10" s="8"/>
      <c r="N10" s="27"/>
      <c r="O10" s="7"/>
      <c r="P10" s="7"/>
      <c r="Q10" s="8"/>
    </row>
    <row r="11" spans="1:19">
      <c r="A11" s="2"/>
      <c r="B11" s="3" t="str">
        <f>gb_wk!C14</f>
        <v>Q1</v>
      </c>
      <c r="C11" s="3" t="s">
        <v>89</v>
      </c>
      <c r="D11" s="15"/>
      <c r="E11" s="65">
        <f>gb_wk!D14</f>
        <v>30.37474787</v>
      </c>
      <c r="F11" s="8">
        <f>E11/O11</f>
        <v>0.69630500824650787</v>
      </c>
      <c r="G11" s="65">
        <f>gb_wk!E14</f>
        <v>28.749264029999999</v>
      </c>
      <c r="H11" s="8">
        <f>G11/P11</f>
        <v>0.68455064416939593</v>
      </c>
      <c r="I11" s="27"/>
      <c r="J11" s="65">
        <f>gb_wk!F14</f>
        <v>13.24801444</v>
      </c>
      <c r="K11" s="8">
        <f>J11/O11</f>
        <v>0.30369499175349218</v>
      </c>
      <c r="L11" s="65">
        <f>gb_wk!G14</f>
        <v>13.24801444</v>
      </c>
      <c r="M11" s="8">
        <f>L11/P11</f>
        <v>0.31544935583060418</v>
      </c>
      <c r="N11" s="27"/>
      <c r="O11" s="65">
        <f>E11+J11</f>
        <v>43.622762309999999</v>
      </c>
      <c r="P11" s="65">
        <f>G11+L11</f>
        <v>41.997278469999998</v>
      </c>
      <c r="Q11" s="8">
        <f>P11/O11</f>
        <v>0.96273771412161635</v>
      </c>
    </row>
    <row r="12" spans="1:19">
      <c r="C12" s="3" t="s">
        <v>91</v>
      </c>
      <c r="D12" s="15"/>
      <c r="E12" s="8">
        <f>E11/E5-1</f>
        <v>6.1696565312496343E-2</v>
      </c>
      <c r="F12" s="8"/>
      <c r="G12" s="8">
        <f>G11/G5-1</f>
        <v>2.8860471397105236E-3</v>
      </c>
      <c r="H12" s="8"/>
      <c r="I12" s="16"/>
      <c r="J12" s="8">
        <f>J11/J5-1</f>
        <v>0.13090464643260002</v>
      </c>
      <c r="K12" s="8"/>
      <c r="L12" s="8">
        <f>L11/L5-1</f>
        <v>0.13090464643260002</v>
      </c>
      <c r="M12" s="8"/>
      <c r="N12" s="16"/>
      <c r="O12" s="8">
        <f>O11/O5-1</f>
        <v>8.1802130311003696E-2</v>
      </c>
      <c r="P12" s="8">
        <f>P11/P5-1</f>
        <v>4.0024188736407673E-2</v>
      </c>
      <c r="Q12" s="8"/>
    </row>
    <row r="13" spans="1:19">
      <c r="B13" s="3" t="str">
        <f>gb_wk!C15</f>
        <v>Q2</v>
      </c>
      <c r="C13" s="3" t="s">
        <v>89</v>
      </c>
      <c r="D13" s="15"/>
      <c r="E13" s="65">
        <f>gb_wk!D15</f>
        <v>33.816968760000002</v>
      </c>
      <c r="F13" s="8">
        <f>E13/O13</f>
        <v>0.71185301286380376</v>
      </c>
      <c r="G13" s="65">
        <f>gb_wk!E15</f>
        <v>29.614978749999999</v>
      </c>
      <c r="H13" s="8">
        <f>G13/P13</f>
        <v>0.68389247643331152</v>
      </c>
      <c r="I13" s="27"/>
      <c r="J13" s="65">
        <f>gb_wk!F15</f>
        <v>13.68858105</v>
      </c>
      <c r="K13" s="8">
        <f>J13/O13</f>
        <v>0.28814698713619619</v>
      </c>
      <c r="L13" s="65">
        <f>gb_wk!G15</f>
        <v>13.68858105</v>
      </c>
      <c r="M13" s="8">
        <f>L13/P13</f>
        <v>0.31610752356668836</v>
      </c>
      <c r="N13" s="27"/>
      <c r="O13" s="65">
        <f>E13+J13</f>
        <v>47.505549810000005</v>
      </c>
      <c r="P13" s="65">
        <f>G13+L13</f>
        <v>43.303559800000002</v>
      </c>
      <c r="Q13" s="8">
        <f>P13/O13</f>
        <v>0.91154738705675442</v>
      </c>
    </row>
    <row r="14" spans="1:19">
      <c r="C14" s="3" t="s">
        <v>91</v>
      </c>
      <c r="D14" s="15"/>
      <c r="E14" s="8">
        <f>E13/E6-1</f>
        <v>1.4743737205962004E-2</v>
      </c>
      <c r="F14" s="8"/>
      <c r="G14" s="8">
        <f>G13/G6-1</f>
        <v>4.2841038921054064E-2</v>
      </c>
      <c r="H14" s="8"/>
      <c r="I14" s="16"/>
      <c r="J14" s="8">
        <f>J13/J6-1</f>
        <v>3.8440882976051416E-2</v>
      </c>
      <c r="K14" s="8"/>
      <c r="L14" s="8">
        <f>L13/L6-1</f>
        <v>3.8440882976051416E-2</v>
      </c>
      <c r="M14" s="8"/>
      <c r="N14" s="16"/>
      <c r="O14" s="8">
        <f>O13/O6-1</f>
        <v>2.146034293461363E-2</v>
      </c>
      <c r="P14" s="8">
        <f>P13/P6-1</f>
        <v>4.1446091245652017E-2</v>
      </c>
      <c r="Q14" s="8"/>
    </row>
    <row r="15" spans="1:19">
      <c r="B15" s="3" t="str">
        <f>gb_wk!C16</f>
        <v>Q3</v>
      </c>
      <c r="C15" s="3" t="s">
        <v>89</v>
      </c>
      <c r="D15" s="15"/>
      <c r="E15" s="65">
        <f>gb_wk!D16</f>
        <v>31.946587260000001</v>
      </c>
      <c r="F15" s="8">
        <f>E15/O15</f>
        <v>0.70871013237205849</v>
      </c>
      <c r="G15" s="65">
        <f>gb_wk!E16</f>
        <v>29.493705890000001</v>
      </c>
      <c r="H15" s="8">
        <f>G15/P15</f>
        <v>0.69194736803457846</v>
      </c>
      <c r="I15" s="27"/>
      <c r="J15" s="65">
        <f>gb_wk!F16</f>
        <v>13.130498279999999</v>
      </c>
      <c r="K15" s="8">
        <f>J15/O15</f>
        <v>0.29128986762794157</v>
      </c>
      <c r="L15" s="65">
        <f>gb_wk!G16</f>
        <v>13.130498279999999</v>
      </c>
      <c r="M15" s="8">
        <f>L15/P15</f>
        <v>0.30805263196542165</v>
      </c>
      <c r="N15" s="27"/>
      <c r="O15" s="65">
        <f>E15+J15</f>
        <v>45.077085539999999</v>
      </c>
      <c r="P15" s="65">
        <f>G15+L15</f>
        <v>42.624204169999999</v>
      </c>
      <c r="Q15" s="8">
        <f>P15/O15</f>
        <v>0.9455847391060056</v>
      </c>
    </row>
    <row r="16" spans="1:19">
      <c r="B16" s="9"/>
      <c r="C16" s="9" t="s">
        <v>91</v>
      </c>
      <c r="D16" s="15"/>
      <c r="E16" s="16">
        <f>E15/E7-1</f>
        <v>-5.0813775952516016E-2</v>
      </c>
      <c r="F16" s="16"/>
      <c r="G16" s="16">
        <f>G15/G7-1</f>
        <v>7.7885946290319863E-2</v>
      </c>
      <c r="H16" s="16"/>
      <c r="I16" s="16"/>
      <c r="J16" s="16">
        <f>J15/J7-1</f>
        <v>-4.0079002784122908E-2</v>
      </c>
      <c r="K16" s="16"/>
      <c r="L16" s="16">
        <f>L15/L7-1</f>
        <v>-4.0079002784122908E-2</v>
      </c>
      <c r="M16" s="16"/>
      <c r="N16" s="16"/>
      <c r="O16" s="16">
        <f>O15/O7-1</f>
        <v>-4.77117087415726E-2</v>
      </c>
      <c r="P16" s="16">
        <f>P15/P7-1</f>
        <v>3.8569175081552221E-2</v>
      </c>
      <c r="Q16" s="16"/>
      <c r="R16" s="15"/>
      <c r="S16" s="15"/>
    </row>
    <row r="17" spans="1:19" ht="16.149999999999999" customHeight="1">
      <c r="B17" s="3" t="str">
        <f>gb_wk!C17</f>
        <v>Q4</v>
      </c>
      <c r="C17" s="3" t="s">
        <v>89</v>
      </c>
      <c r="D17" s="15"/>
      <c r="E17" s="65">
        <f>gb_wk!D17</f>
        <v>31.59827838</v>
      </c>
      <c r="F17" s="8">
        <f>E17/O17</f>
        <v>0.70181895482382584</v>
      </c>
      <c r="G17" s="65">
        <f>gb_wk!E17</f>
        <v>31.573400360000001</v>
      </c>
      <c r="H17" s="8">
        <f>G17/P17</f>
        <v>0.70165410155732288</v>
      </c>
      <c r="I17" s="27"/>
      <c r="J17" s="65">
        <f>gb_wk!F17</f>
        <v>13.425125680000001</v>
      </c>
      <c r="K17" s="8">
        <f>J17/O17</f>
        <v>0.29818104517617405</v>
      </c>
      <c r="L17" s="65">
        <f>gb_wk!G17</f>
        <v>13.425125680000001</v>
      </c>
      <c r="M17" s="8">
        <f>L17/P17</f>
        <v>0.29834589844267706</v>
      </c>
      <c r="N17" s="27"/>
      <c r="O17" s="65">
        <f>E17+J17</f>
        <v>45.023404060000004</v>
      </c>
      <c r="P17" s="65">
        <f>G17+L17</f>
        <v>44.998526040000002</v>
      </c>
      <c r="Q17" s="8">
        <f>P17/O17</f>
        <v>0.99944744249086881</v>
      </c>
    </row>
    <row r="18" spans="1:19" ht="16.149999999999999" customHeight="1">
      <c r="B18" s="4"/>
      <c r="C18" s="4" t="s">
        <v>91</v>
      </c>
      <c r="D18" s="15"/>
      <c r="E18" s="13">
        <f>E17/E8-1</f>
        <v>-0.10342890020240658</v>
      </c>
      <c r="F18" s="13"/>
      <c r="G18" s="13">
        <f>G17/G11-1</f>
        <v>9.8233343540655493E-2</v>
      </c>
      <c r="H18" s="13"/>
      <c r="I18" s="27"/>
      <c r="J18" s="13">
        <f>J17/J11-1</f>
        <v>1.3368889413740703E-2</v>
      </c>
      <c r="K18" s="13"/>
      <c r="L18" s="13">
        <f>L17/L11-1</f>
        <v>1.3368889413740703E-2</v>
      </c>
      <c r="M18" s="13"/>
      <c r="N18" s="27"/>
      <c r="O18" s="13">
        <f>O17/O11-1</f>
        <v>3.210804808843859E-2</v>
      </c>
      <c r="P18" s="13">
        <f>P17/P11-1</f>
        <v>7.1462906153404449E-2</v>
      </c>
      <c r="Q18" s="13"/>
    </row>
    <row r="19" spans="1:19">
      <c r="B19" s="3" t="s">
        <v>90</v>
      </c>
      <c r="C19" s="3" t="s">
        <v>89</v>
      </c>
      <c r="D19" s="15"/>
      <c r="E19" s="65">
        <f>E15+E13+E11+E17</f>
        <v>127.73658227</v>
      </c>
      <c r="F19" s="8">
        <f>E19/O19</f>
        <v>0.70483599216946791</v>
      </c>
      <c r="G19" s="65">
        <f>G15+G13+G11+G17</f>
        <v>119.43134903000001</v>
      </c>
      <c r="H19" s="8">
        <f>G19/P19</f>
        <v>0.69065975262830182</v>
      </c>
      <c r="I19" s="27"/>
      <c r="J19" s="65">
        <f>J15+J13+J11+J17</f>
        <v>53.49221945</v>
      </c>
      <c r="K19" s="8">
        <f>J19/O19</f>
        <v>0.29516400783053187</v>
      </c>
      <c r="L19" s="65">
        <f>L15+L13+L11+L17</f>
        <v>53.49221945</v>
      </c>
      <c r="M19" s="8">
        <f>L19/P19</f>
        <v>0.30934024737169824</v>
      </c>
      <c r="N19" s="27"/>
      <c r="O19" s="65">
        <f>O15+O13+O11+O17</f>
        <v>181.22880172000004</v>
      </c>
      <c r="P19" s="65">
        <f>P15+P13+P11+P17</f>
        <v>172.92356848</v>
      </c>
      <c r="Q19" s="8">
        <f>P19/O19</f>
        <v>0.9541726637202419</v>
      </c>
    </row>
    <row r="20" spans="1:19">
      <c r="A20" s="4"/>
      <c r="B20" s="4"/>
      <c r="C20" s="4" t="s">
        <v>91</v>
      </c>
      <c r="D20" s="15"/>
      <c r="E20" s="13">
        <f>E19/E9-1</f>
        <v>-2.3685942745300337E-2</v>
      </c>
      <c r="F20" s="13"/>
      <c r="G20" s="13">
        <f t="shared" ref="G20:P20" si="0">G19/G9-1</f>
        <v>4.9287205722985838E-2</v>
      </c>
      <c r="H20" s="13"/>
      <c r="I20" s="13"/>
      <c r="J20" s="13">
        <f t="shared" si="0"/>
        <v>5.8973553795642619E-3</v>
      </c>
      <c r="K20" s="13"/>
      <c r="L20" s="13">
        <f t="shared" si="0"/>
        <v>5.8973553795642619E-3</v>
      </c>
      <c r="M20" s="13"/>
      <c r="N20" s="13"/>
      <c r="O20" s="13">
        <f t="shared" si="0"/>
        <v>-1.5136608094819537E-2</v>
      </c>
      <c r="P20" s="13">
        <f t="shared" si="0"/>
        <v>3.5470370113335647E-2</v>
      </c>
      <c r="Q20" s="13"/>
    </row>
    <row r="21" spans="1:19">
      <c r="A21" s="91">
        <f>gb_wk!B43</f>
        <v>2006</v>
      </c>
      <c r="B21" s="91"/>
      <c r="C21" s="91"/>
      <c r="D21" s="15"/>
      <c r="E21" s="63"/>
      <c r="F21" s="64"/>
      <c r="G21" s="63"/>
      <c r="H21" s="64"/>
      <c r="I21" s="63"/>
      <c r="J21" s="63"/>
      <c r="K21" s="64"/>
      <c r="L21" s="63"/>
      <c r="M21" s="64"/>
      <c r="N21" s="63"/>
      <c r="O21" s="63"/>
      <c r="P21" s="63"/>
      <c r="Q21" s="64"/>
    </row>
    <row r="22" spans="1:19">
      <c r="A22" s="15"/>
      <c r="B22" s="9" t="str">
        <f>gb_wk!C43</f>
        <v>Q1</v>
      </c>
      <c r="C22" s="9" t="s">
        <v>89</v>
      </c>
      <c r="D22" s="15"/>
      <c r="E22" s="68">
        <f>gb_wk!D43</f>
        <v>28.48379963</v>
      </c>
      <c r="F22" s="16">
        <f>E22/O22</f>
        <v>0.69629256041762699</v>
      </c>
      <c r="G22" s="68">
        <f>gb_wk!E43</f>
        <v>30.288719270000001</v>
      </c>
      <c r="H22" s="16">
        <f>G22/P22</f>
        <v>0.70912638310630616</v>
      </c>
      <c r="I22" s="27"/>
      <c r="J22" s="68">
        <f>gb_wk!F43</f>
        <v>12.42400443</v>
      </c>
      <c r="K22" s="16">
        <f>J22/O22</f>
        <v>0.3037074395823729</v>
      </c>
      <c r="L22" s="68">
        <f>gb_wk!G43</f>
        <v>12.42400443</v>
      </c>
      <c r="M22" s="16">
        <f>L22/P22</f>
        <v>0.2908736168936939</v>
      </c>
      <c r="N22" s="27"/>
      <c r="O22" s="68">
        <f>E22+J22</f>
        <v>40.907804060000004</v>
      </c>
      <c r="P22" s="68">
        <f>G22+L22</f>
        <v>42.712723699999998</v>
      </c>
      <c r="Q22" s="16">
        <f>P22/O22</f>
        <v>1.0441216457708826</v>
      </c>
    </row>
    <row r="23" spans="1:19">
      <c r="A23" s="9"/>
      <c r="B23" s="9"/>
      <c r="C23" s="9" t="s">
        <v>91</v>
      </c>
      <c r="D23" s="15"/>
      <c r="E23" s="16">
        <f>E22/E11-1</f>
        <v>-6.2253956743707484E-2</v>
      </c>
      <c r="F23" s="16"/>
      <c r="G23" s="16">
        <f>G22/G11-1</f>
        <v>5.3547639981099016E-2</v>
      </c>
      <c r="H23" s="16"/>
      <c r="I23" s="16"/>
      <c r="J23" s="16">
        <f>J22/J11-1</f>
        <v>-6.2198755423457985E-2</v>
      </c>
      <c r="K23" s="16"/>
      <c r="L23" s="16">
        <f>L22/L11-1</f>
        <v>-6.2198755423457985E-2</v>
      </c>
      <c r="M23" s="16"/>
      <c r="N23" s="16"/>
      <c r="O23" s="16">
        <f>O22/O11-1</f>
        <v>-6.2237192379209438E-2</v>
      </c>
      <c r="P23" s="16">
        <f>P22/P11-1</f>
        <v>1.7035514111017225E-2</v>
      </c>
      <c r="Q23" s="16"/>
    </row>
    <row r="24" spans="1:19">
      <c r="B24" s="3" t="str">
        <f>gb_wk!C48</f>
        <v>Q2</v>
      </c>
      <c r="C24" s="3" t="s">
        <v>89</v>
      </c>
      <c r="D24" s="15"/>
      <c r="E24" s="65">
        <f>gb_wk!D48</f>
        <v>31.154662680000001</v>
      </c>
      <c r="F24" s="8">
        <f>E24/O24</f>
        <v>0.70697439839873355</v>
      </c>
      <c r="G24" s="65">
        <f>gb_wk!E48</f>
        <v>31.00237881</v>
      </c>
      <c r="H24" s="8">
        <f>G24/P24</f>
        <v>0.70595828192989862</v>
      </c>
      <c r="I24" s="27"/>
      <c r="J24" s="65">
        <f>gb_wk!F48</f>
        <v>12.91293404</v>
      </c>
      <c r="K24" s="8">
        <f>J24/O24</f>
        <v>0.29302560160126656</v>
      </c>
      <c r="L24" s="65">
        <f>gb_wk!G48</f>
        <v>12.91293404</v>
      </c>
      <c r="M24" s="8">
        <f>L24/P24</f>
        <v>0.29404171807010138</v>
      </c>
      <c r="N24" s="27"/>
      <c r="O24" s="65">
        <f>E24+J24</f>
        <v>44.067596719999997</v>
      </c>
      <c r="P24" s="65">
        <f>G24+L24</f>
        <v>43.915312849999999</v>
      </c>
      <c r="Q24" s="8">
        <f>P24/O24</f>
        <v>0.99654431189048975</v>
      </c>
    </row>
    <row r="25" spans="1:19">
      <c r="A25" s="9"/>
      <c r="B25" s="9"/>
      <c r="C25" s="9" t="s">
        <v>91</v>
      </c>
      <c r="D25" s="15"/>
      <c r="E25" s="16">
        <f>E24/E13-1</f>
        <v>-7.8726928451052558E-2</v>
      </c>
      <c r="F25" s="16"/>
      <c r="G25" s="16">
        <f>G24/G13-1</f>
        <v>4.6847916782651877E-2</v>
      </c>
      <c r="H25" s="16"/>
      <c r="I25" s="16"/>
      <c r="J25" s="16">
        <f>J24/J13-1</f>
        <v>-5.6663799349750743E-2</v>
      </c>
      <c r="K25" s="16"/>
      <c r="L25" s="16">
        <f>L24/L13-1</f>
        <v>-5.6663799349750743E-2</v>
      </c>
      <c r="M25" s="16"/>
      <c r="N25" s="16"/>
      <c r="O25" s="16">
        <f>O24/O13-1</f>
        <v>-7.236950427371569E-2</v>
      </c>
      <c r="P25" s="16">
        <f>P24/P13-1</f>
        <v>1.4127084535899836E-2</v>
      </c>
      <c r="Q25" s="16"/>
    </row>
    <row r="26" spans="1:19">
      <c r="A26" s="9"/>
      <c r="B26" s="9" t="str">
        <f>gb_wk!C54</f>
        <v>Q3</v>
      </c>
      <c r="C26" s="9" t="s">
        <v>89</v>
      </c>
      <c r="D26" s="15"/>
      <c r="E26" s="68">
        <f>gb_wk!D54</f>
        <v>32.062957869999998</v>
      </c>
      <c r="F26" s="16">
        <f>E26/O26</f>
        <v>0.70272463548976194</v>
      </c>
      <c r="G26" s="68">
        <f>gb_wk!E54</f>
        <v>29.829763119999999</v>
      </c>
      <c r="H26" s="16">
        <f>G26/P26</f>
        <v>0.68742569086469896</v>
      </c>
      <c r="I26" s="27"/>
      <c r="J26" s="68">
        <f>gb_wk!F54</f>
        <v>13.56367346</v>
      </c>
      <c r="K26" s="16">
        <f>J26/O26</f>
        <v>0.29727536451023817</v>
      </c>
      <c r="L26" s="68">
        <f>gb_wk!G54</f>
        <v>13.56367346</v>
      </c>
      <c r="M26" s="16">
        <f>L26/P26</f>
        <v>0.31257430913530104</v>
      </c>
      <c r="N26" s="27"/>
      <c r="O26" s="68">
        <f>E26+J26</f>
        <v>45.626631329999995</v>
      </c>
      <c r="P26" s="68">
        <f>G26+L26</f>
        <v>43.393436579999999</v>
      </c>
      <c r="Q26" s="16">
        <f>P26/O26</f>
        <v>0.95105501579005136</v>
      </c>
    </row>
    <row r="27" spans="1:19">
      <c r="A27" s="9"/>
      <c r="B27" s="9"/>
      <c r="C27" s="9" t="s">
        <v>91</v>
      </c>
      <c r="D27" s="15"/>
      <c r="E27" s="16">
        <f>E26/E15-1</f>
        <v>3.6426617044538201E-3</v>
      </c>
      <c r="F27" s="16"/>
      <c r="G27" s="16">
        <f>G26/G15-1</f>
        <v>1.1394201571459428E-2</v>
      </c>
      <c r="H27" s="16"/>
      <c r="I27" s="16"/>
      <c r="J27" s="16">
        <f>J26/J15-1</f>
        <v>3.2990003179072191E-2</v>
      </c>
      <c r="K27" s="16"/>
      <c r="L27" s="16">
        <f>L26/L15-1</f>
        <v>3.2990003179072191E-2</v>
      </c>
      <c r="M27" s="16"/>
      <c r="N27" s="16"/>
      <c r="O27" s="16">
        <f>O26/O15-1</f>
        <v>1.2191244917827415E-2</v>
      </c>
      <c r="P27" s="16">
        <f>P26/P15-1</f>
        <v>1.804684509608756E-2</v>
      </c>
      <c r="Q27" s="16"/>
      <c r="R27" s="15"/>
      <c r="S27" s="15"/>
    </row>
    <row r="28" spans="1:19" ht="16.149999999999999" customHeight="1">
      <c r="B28" s="3" t="str">
        <f>gb_wk!C60</f>
        <v>Q4</v>
      </c>
      <c r="C28" s="3" t="s">
        <v>89</v>
      </c>
      <c r="D28" s="15"/>
      <c r="E28" s="68">
        <f>gb_wk!D60</f>
        <v>32.189505500000003</v>
      </c>
      <c r="F28" s="8">
        <f>E28/O28</f>
        <v>0.6974226774329404</v>
      </c>
      <c r="G28" s="68">
        <f>gb_wk!E60</f>
        <v>32.216869850000002</v>
      </c>
      <c r="H28" s="8">
        <f>G28/P28</f>
        <v>0.69760196322065238</v>
      </c>
      <c r="I28" s="27"/>
      <c r="J28" s="68">
        <f>gb_wk!F60</f>
        <v>13.965439760000001</v>
      </c>
      <c r="K28" s="8">
        <f>J28/O28</f>
        <v>0.3025773225670596</v>
      </c>
      <c r="L28" s="68">
        <f>gb_wk!G60</f>
        <v>13.965439760000001</v>
      </c>
      <c r="M28" s="8">
        <f>L28/P28</f>
        <v>0.30239803677934762</v>
      </c>
      <c r="N28" s="27"/>
      <c r="O28" s="68">
        <f>E28+J28</f>
        <v>46.154945260000005</v>
      </c>
      <c r="P28" s="68">
        <f>G28+L28</f>
        <v>46.182309610000004</v>
      </c>
      <c r="Q28" s="8">
        <f>P28/O28</f>
        <v>1.0005928801311723</v>
      </c>
    </row>
    <row r="29" spans="1:19" ht="16.149999999999999" customHeight="1">
      <c r="B29" s="4"/>
      <c r="C29" s="4" t="s">
        <v>91</v>
      </c>
      <c r="D29" s="15"/>
      <c r="E29" s="13">
        <f>E28/E17-1</f>
        <v>1.8710738379158487E-2</v>
      </c>
      <c r="F29" s="13"/>
      <c r="G29" s="13">
        <f>G28/G17-1</f>
        <v>2.0380113724310922E-2</v>
      </c>
      <c r="H29" s="13"/>
      <c r="I29" s="27"/>
      <c r="J29" s="13">
        <f>J28/J17-1</f>
        <v>4.0246482072412215E-2</v>
      </c>
      <c r="K29" s="13"/>
      <c r="L29" s="13">
        <f>L28/L17-1</f>
        <v>4.0246482072412215E-2</v>
      </c>
      <c r="M29" s="13"/>
      <c r="N29" s="27"/>
      <c r="O29" s="13">
        <f>O28/O17-1</f>
        <v>2.5132288942259162E-2</v>
      </c>
      <c r="P29" s="13">
        <f>P28/P17-1</f>
        <v>2.6307163237918374E-2</v>
      </c>
      <c r="Q29" s="13"/>
    </row>
    <row r="30" spans="1:19">
      <c r="B30" s="3" t="s">
        <v>90</v>
      </c>
      <c r="C30" s="3" t="s">
        <v>89</v>
      </c>
      <c r="D30" s="15"/>
      <c r="E30" s="68">
        <f>E26+E24+E22+E28</f>
        <v>123.89092568000001</v>
      </c>
      <c r="F30" s="8">
        <f>E30/O30</f>
        <v>0.70091109003670571</v>
      </c>
      <c r="G30" s="68">
        <f>G26+G24+G22+G28</f>
        <v>123.33773105</v>
      </c>
      <c r="H30" s="8">
        <f>G30/P30</f>
        <v>0.69997209555933737</v>
      </c>
      <c r="I30" s="27"/>
      <c r="J30" s="68">
        <f>J26+J24+J22+J28</f>
        <v>52.866051689999999</v>
      </c>
      <c r="K30" s="8">
        <f>J30/O30</f>
        <v>0.29908890996329446</v>
      </c>
      <c r="L30" s="68">
        <f>L26+L24+L22+L28</f>
        <v>52.866051689999999</v>
      </c>
      <c r="M30" s="8">
        <f>L30/P30</f>
        <v>0.30002790444066263</v>
      </c>
      <c r="N30" s="27"/>
      <c r="O30" s="68">
        <f>O26+O24+O22+O28</f>
        <v>176.75697736999999</v>
      </c>
      <c r="P30" s="68">
        <f>P26+P24+P22+P28</f>
        <v>176.20378274000001</v>
      </c>
      <c r="Q30" s="8">
        <f>P30/O30</f>
        <v>0.99687030951631406</v>
      </c>
    </row>
    <row r="31" spans="1:19">
      <c r="A31" s="4"/>
      <c r="B31" s="4"/>
      <c r="C31" s="4" t="s">
        <v>91</v>
      </c>
      <c r="D31" s="15"/>
      <c r="E31" s="13">
        <f>E30/E19-1</f>
        <v>-3.010614908947018E-2</v>
      </c>
      <c r="F31" s="13"/>
      <c r="G31" s="13">
        <f>G30/G19-1</f>
        <v>3.2708179650710933E-2</v>
      </c>
      <c r="H31" s="13"/>
      <c r="I31" s="13"/>
      <c r="J31" s="13">
        <f>J30/J19-1</f>
        <v>-1.1705772660737912E-2</v>
      </c>
      <c r="K31" s="13"/>
      <c r="L31" s="13">
        <f>L30/L19-1</f>
        <v>-1.1705772660737912E-2</v>
      </c>
      <c r="M31" s="13"/>
      <c r="N31" s="13"/>
      <c r="O31" s="13">
        <f>O30/O19-1</f>
        <v>-2.4675020237175382E-2</v>
      </c>
      <c r="P31" s="13">
        <f>P30/P19-1</f>
        <v>1.8969156655932684E-2</v>
      </c>
      <c r="Q31" s="13"/>
    </row>
    <row r="32" spans="1:19">
      <c r="A32" s="9"/>
      <c r="B32" s="9"/>
      <c r="C32" s="9"/>
      <c r="D32" s="15"/>
      <c r="E32" s="16"/>
      <c r="F32" s="16"/>
      <c r="G32" s="16"/>
      <c r="H32" s="16"/>
      <c r="I32" s="16"/>
      <c r="J32" s="16"/>
      <c r="K32" s="16"/>
      <c r="L32" s="16"/>
      <c r="M32" s="16"/>
      <c r="N32" s="16"/>
      <c r="O32" s="16"/>
      <c r="P32" s="16"/>
      <c r="Q32" s="16"/>
    </row>
    <row r="33" spans="1:17">
      <c r="A33" s="34" t="str">
        <f>說明!B18</f>
        <v>1.</v>
      </c>
      <c r="B33" s="34" t="str">
        <f>說明!C18</f>
        <v>資料來源：總額各案件核定醫療費用分攤明細(PHFB_DECIDE_DIST)</v>
      </c>
      <c r="E33" s="7"/>
      <c r="F33" s="8"/>
      <c r="G33" s="7"/>
      <c r="H33" s="8"/>
      <c r="J33" s="7"/>
      <c r="K33" s="8"/>
      <c r="L33" s="7"/>
      <c r="M33" s="8"/>
      <c r="O33" s="7"/>
      <c r="P33" s="7"/>
      <c r="Q33" s="8"/>
    </row>
    <row r="34" spans="1:17">
      <c r="A34" s="34" t="str">
        <f>說明!B19</f>
        <v>2.</v>
      </c>
      <c r="B34" s="34" t="str">
        <f>說明!C19</f>
        <v>資料處理：</v>
      </c>
      <c r="E34" s="7"/>
      <c r="F34" s="8"/>
      <c r="G34" s="7"/>
      <c r="H34" s="8"/>
      <c r="J34" s="7"/>
      <c r="K34" s="8"/>
      <c r="L34" s="7"/>
      <c r="M34" s="8"/>
      <c r="O34" s="7"/>
      <c r="P34" s="7"/>
      <c r="Q34" s="8"/>
    </row>
    <row r="35" spans="1:17">
      <c r="A35" s="34"/>
      <c r="B35" s="34" t="str">
        <f>說明!C20</f>
        <v>※本表僅含當季核定之送核、補報資料</v>
      </c>
      <c r="E35" s="7"/>
      <c r="F35" s="8"/>
      <c r="G35" s="7"/>
      <c r="H35" s="8"/>
      <c r="J35" s="7"/>
      <c r="K35" s="8"/>
      <c r="L35" s="7"/>
      <c r="M35" s="8"/>
      <c r="O35" s="7"/>
      <c r="P35" s="7"/>
      <c r="Q35" s="8"/>
    </row>
    <row r="36" spans="1:17">
      <c r="A36" s="34"/>
      <c r="B36" s="34" t="str">
        <f>說明!C21</f>
        <v>※本表不含申複、爭議審議等之核定醫療點數及費用</v>
      </c>
      <c r="E36" s="7"/>
      <c r="F36" s="8"/>
      <c r="G36" s="7"/>
      <c r="H36" s="8"/>
      <c r="J36" s="7"/>
      <c r="K36" s="8"/>
      <c r="L36" s="7"/>
      <c r="M36" s="8"/>
      <c r="O36" s="7"/>
      <c r="P36" s="7"/>
      <c r="Q36" s="8"/>
    </row>
    <row r="37" spans="1:17">
      <c r="A37" s="34"/>
      <c r="B37" s="34" t="str">
        <f>說明!C22</f>
        <v>※本表不含代辦、總額外及追扣、補付付款之項目</v>
      </c>
      <c r="E37" s="7"/>
      <c r="F37" s="8"/>
      <c r="G37" s="7"/>
      <c r="H37" s="8"/>
      <c r="J37" s="7"/>
      <c r="K37" s="8"/>
      <c r="L37" s="7"/>
      <c r="M37" s="8"/>
      <c r="O37" s="7"/>
      <c r="P37" s="7"/>
      <c r="Q37" s="8"/>
    </row>
    <row r="38" spans="1:17">
      <c r="A38" s="34"/>
      <c r="B38" s="34" t="str">
        <f>說明!C23</f>
        <v>※本表所謂浮動點值部分係指各總額別中一般部門預算之浮動點值部份</v>
      </c>
      <c r="E38" s="7"/>
      <c r="F38" s="8"/>
      <c r="G38" s="7"/>
      <c r="H38" s="8"/>
      <c r="J38" s="7"/>
      <c r="K38" s="8"/>
      <c r="L38" s="7"/>
      <c r="M38" s="8"/>
      <c r="O38" s="7"/>
      <c r="P38" s="7"/>
      <c r="Q38" s="8"/>
    </row>
    <row r="39" spans="1:17">
      <c r="A39" s="34"/>
      <c r="B39" s="34" t="str">
        <f>說明!C24</f>
        <v>※本表所謂固定點值部分係指各總額別中一般部門預算之非浮動點值及專款部份</v>
      </c>
    </row>
    <row r="40" spans="1:17">
      <c r="A40" s="34"/>
      <c r="B40" s="34" t="str">
        <f>說明!C25</f>
        <v>※層級別中不含處方釋出之醫療點數及費用</v>
      </c>
    </row>
    <row r="41" spans="1:17">
      <c r="A41" s="34"/>
      <c r="B41" s="34"/>
    </row>
    <row r="42" spans="1:17">
      <c r="A42" s="34"/>
      <c r="B42" s="34"/>
    </row>
    <row r="43" spans="1:17">
      <c r="A43" s="34"/>
      <c r="B43" s="34"/>
    </row>
  </sheetData>
  <mergeCells count="7">
    <mergeCell ref="A21:C21"/>
    <mergeCell ref="A1:Q1"/>
    <mergeCell ref="A4:C4"/>
    <mergeCell ref="A10:C10"/>
    <mergeCell ref="E2:H2"/>
    <mergeCell ref="J2:M2"/>
    <mergeCell ref="O2:Q2"/>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Sheet10">
    <pageSetUpPr fitToPage="1"/>
  </sheetPr>
  <dimension ref="A1:R42"/>
  <sheetViews>
    <sheetView showGridLines="0" topLeftCell="B1" zoomScale="75" workbookViewId="0">
      <pane ySplit="1" topLeftCell="A2" activePane="bottomLeft" state="frozen"/>
      <selection sqref="A1:D1"/>
      <selection pane="bottomLeft" activeCell="R2" sqref="R2"/>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375" style="3" bestFit="1" customWidth="1"/>
    <col min="6" max="6" width="11.125" style="3" bestFit="1" customWidth="1"/>
    <col min="7" max="7" width="11.5" style="3" bestFit="1" customWidth="1"/>
    <col min="8" max="8" width="11.125" style="3" bestFit="1" customWidth="1"/>
    <col min="9" max="9" width="1.875" style="3" customWidth="1"/>
    <col min="10" max="10" width="11.75" style="3" customWidth="1"/>
    <col min="11" max="11" width="11.125" style="3" bestFit="1" customWidth="1"/>
    <col min="12" max="12" width="11.5" style="3" bestFit="1" customWidth="1"/>
    <col min="13" max="13" width="11.125" style="3" bestFit="1" customWidth="1"/>
    <col min="14" max="14" width="2.25" style="3" customWidth="1"/>
    <col min="15" max="15" width="12.375" style="3" bestFit="1" customWidth="1"/>
    <col min="16" max="16" width="11.5" style="3" customWidth="1"/>
    <col min="17" max="17" width="11.125" style="3" bestFit="1" customWidth="1"/>
    <col min="18" max="16384" width="8.875" style="2"/>
  </cols>
  <sheetData>
    <row r="1" spans="1:18" ht="40.9" customHeight="1">
      <c r="A1" s="89" t="s">
        <v>202</v>
      </c>
      <c r="B1" s="89"/>
      <c r="C1" s="89"/>
      <c r="D1" s="89"/>
      <c r="E1" s="89"/>
      <c r="F1" s="89"/>
      <c r="G1" s="89"/>
      <c r="H1" s="89"/>
      <c r="I1" s="89"/>
      <c r="J1" s="89"/>
      <c r="K1" s="89"/>
      <c r="L1" s="89"/>
      <c r="M1" s="89"/>
      <c r="N1" s="89"/>
      <c r="O1" s="89"/>
      <c r="P1" s="89"/>
      <c r="Q1" s="89"/>
    </row>
    <row r="2" spans="1:18" s="3" customFormat="1">
      <c r="E2" s="90" t="s">
        <v>82</v>
      </c>
      <c r="F2" s="90"/>
      <c r="G2" s="90"/>
      <c r="H2" s="90"/>
      <c r="J2" s="90" t="s">
        <v>83</v>
      </c>
      <c r="K2" s="90"/>
      <c r="L2" s="90"/>
      <c r="M2" s="90"/>
      <c r="O2" s="90" t="s">
        <v>84</v>
      </c>
      <c r="P2" s="90"/>
      <c r="Q2" s="90"/>
      <c r="R2" s="84"/>
    </row>
    <row r="3" spans="1:18" s="3" customFormat="1" ht="33">
      <c r="A3" s="4" t="s">
        <v>85</v>
      </c>
      <c r="B3" s="4" t="s">
        <v>86</v>
      </c>
      <c r="C3" s="4" t="s">
        <v>87</v>
      </c>
      <c r="E3" s="5" t="s">
        <v>218</v>
      </c>
      <c r="F3" s="6" t="s">
        <v>88</v>
      </c>
      <c r="G3" s="35" t="s">
        <v>219</v>
      </c>
      <c r="H3" s="6" t="s">
        <v>88</v>
      </c>
      <c r="J3" s="5" t="s">
        <v>218</v>
      </c>
      <c r="K3" s="6" t="s">
        <v>88</v>
      </c>
      <c r="L3" s="35" t="s">
        <v>219</v>
      </c>
      <c r="M3" s="6" t="s">
        <v>88</v>
      </c>
      <c r="O3" s="5" t="s">
        <v>220</v>
      </c>
      <c r="P3" s="35" t="s">
        <v>221</v>
      </c>
      <c r="Q3" s="35" t="s">
        <v>216</v>
      </c>
    </row>
    <row r="4" spans="1:18">
      <c r="A4" s="88">
        <f>gb_wk!B18</f>
        <v>2004</v>
      </c>
      <c r="B4" s="88"/>
      <c r="C4" s="88"/>
      <c r="D4" s="9"/>
      <c r="E4" s="10"/>
      <c r="F4" s="9"/>
      <c r="G4" s="9"/>
      <c r="H4" s="9"/>
      <c r="I4" s="9"/>
      <c r="J4" s="10"/>
      <c r="K4" s="9"/>
      <c r="L4" s="9"/>
      <c r="M4" s="9"/>
      <c r="N4" s="9"/>
      <c r="O4" s="10"/>
      <c r="P4" s="9"/>
      <c r="Q4" s="9"/>
    </row>
    <row r="5" spans="1:18">
      <c r="A5" s="2"/>
      <c r="B5" s="3" t="str">
        <f>gb_wk!C18</f>
        <v>Q1</v>
      </c>
      <c r="C5" s="3" t="s">
        <v>89</v>
      </c>
      <c r="D5" s="15"/>
      <c r="E5" s="65">
        <f>gb_wk!D18</f>
        <v>134.68615693999999</v>
      </c>
      <c r="F5" s="8">
        <f>E5/O5</f>
        <v>0.65945968982760472</v>
      </c>
      <c r="G5" s="65">
        <f>gb_wk!E18</f>
        <v>117.68311528</v>
      </c>
      <c r="H5" s="8">
        <f>G5/P5</f>
        <v>0.62836279134045547</v>
      </c>
      <c r="I5" s="16"/>
      <c r="J5" s="65">
        <f>gb_wk!F18</f>
        <v>69.550976910000003</v>
      </c>
      <c r="K5" s="8">
        <f>J5/O5</f>
        <v>0.34054031017239528</v>
      </c>
      <c r="L5" s="65">
        <f>gb_wk!G18</f>
        <v>69.602186939999996</v>
      </c>
      <c r="M5" s="8">
        <f>L5/P5</f>
        <v>0.37163720865954453</v>
      </c>
      <c r="N5" s="16"/>
      <c r="O5" s="65">
        <f>E5+J5</f>
        <v>204.23713384999999</v>
      </c>
      <c r="P5" s="65">
        <f>G5+L5</f>
        <v>187.28530222000001</v>
      </c>
      <c r="Q5" s="8">
        <f>P5/O5</f>
        <v>0.9169992679076171</v>
      </c>
    </row>
    <row r="6" spans="1:18">
      <c r="B6" s="3" t="str">
        <f>gb_wk!C19</f>
        <v>Q2</v>
      </c>
      <c r="C6" s="3" t="s">
        <v>89</v>
      </c>
      <c r="D6" s="15"/>
      <c r="E6" s="65">
        <f>gb_wk!D19</f>
        <v>135.29551319999999</v>
      </c>
      <c r="F6" s="8">
        <f>E6/O6</f>
        <v>0.66207691284199033</v>
      </c>
      <c r="G6" s="65">
        <f>gb_wk!E19</f>
        <v>120.01054600000001</v>
      </c>
      <c r="H6" s="8">
        <f>G6/P6</f>
        <v>0.63455875295491149</v>
      </c>
      <c r="I6" s="27"/>
      <c r="J6" s="65">
        <f>gb_wk!F19</f>
        <v>69.054631889999996</v>
      </c>
      <c r="K6" s="8">
        <f>J6/O6</f>
        <v>0.33792308715800973</v>
      </c>
      <c r="L6" s="65">
        <f>gb_wk!G19</f>
        <v>69.113858070000006</v>
      </c>
      <c r="M6" s="8">
        <f>L6/P6</f>
        <v>0.3654412470450884</v>
      </c>
      <c r="N6" s="27"/>
      <c r="O6" s="65">
        <f>E6+J6</f>
        <v>204.35014508999998</v>
      </c>
      <c r="P6" s="65">
        <f>G6+L6</f>
        <v>189.12440407000003</v>
      </c>
      <c r="Q6" s="8">
        <f>P6/O6</f>
        <v>0.92549190012419991</v>
      </c>
    </row>
    <row r="7" spans="1:18">
      <c r="B7" s="3" t="str">
        <f>gb_wk!C20</f>
        <v>Q3</v>
      </c>
      <c r="C7" s="3" t="s">
        <v>89</v>
      </c>
      <c r="D7" s="15"/>
      <c r="E7" s="65">
        <f>gb_wk!D20</f>
        <v>138.74726926</v>
      </c>
      <c r="F7" s="8">
        <f>E7/O7</f>
        <v>0.66163927562037694</v>
      </c>
      <c r="G7" s="65">
        <f>gb_wk!E20</f>
        <v>112.79269689</v>
      </c>
      <c r="H7" s="8">
        <f>G7/P7</f>
        <v>0.61336945344566529</v>
      </c>
      <c r="I7" s="27"/>
      <c r="J7" s="65">
        <f>gb_wk!F20</f>
        <v>70.955017729999994</v>
      </c>
      <c r="K7" s="8">
        <f>J7/O7</f>
        <v>0.338360724379623</v>
      </c>
      <c r="L7" s="65">
        <f>gb_wk!G20</f>
        <v>71.097609770000005</v>
      </c>
      <c r="M7" s="8">
        <f>L7/P7</f>
        <v>0.3866305465543346</v>
      </c>
      <c r="N7" s="27"/>
      <c r="O7" s="65">
        <f>E7+J7</f>
        <v>209.70228699</v>
      </c>
      <c r="P7" s="65">
        <f>G7+L7</f>
        <v>183.89030666000002</v>
      </c>
      <c r="Q7" s="8">
        <f>P7/O7</f>
        <v>0.87691130745164036</v>
      </c>
    </row>
    <row r="8" spans="1:18">
      <c r="B8" s="4" t="str">
        <f>gb_wk!C21</f>
        <v>Q4</v>
      </c>
      <c r="C8" s="4" t="s">
        <v>89</v>
      </c>
      <c r="D8" s="15"/>
      <c r="E8" s="66">
        <f>gb_wk!D21</f>
        <v>152.75864562000001</v>
      </c>
      <c r="F8" s="13">
        <f>E8/O8</f>
        <v>0.65553656710233599</v>
      </c>
      <c r="G8" s="66">
        <f>gb_wk!E21</f>
        <v>116.949157</v>
      </c>
      <c r="H8" s="13">
        <f>G8/P8</f>
        <v>0.59247142150133247</v>
      </c>
      <c r="I8" s="27"/>
      <c r="J8" s="66">
        <f>gb_wk!F21</f>
        <v>80.269766959999998</v>
      </c>
      <c r="K8" s="13">
        <f>J8/O8</f>
        <v>0.34446343289766401</v>
      </c>
      <c r="L8" s="66">
        <f>gb_wk!G21</f>
        <v>80.442907419999997</v>
      </c>
      <c r="M8" s="13">
        <f>L8/P8</f>
        <v>0.40752857849866747</v>
      </c>
      <c r="N8" s="27"/>
      <c r="O8" s="66">
        <f>E8+J8</f>
        <v>233.02841258000001</v>
      </c>
      <c r="P8" s="66">
        <f>G8+L8</f>
        <v>197.39206442</v>
      </c>
      <c r="Q8" s="13">
        <f>P8/O8</f>
        <v>0.84707294803475586</v>
      </c>
    </row>
    <row r="9" spans="1:18">
      <c r="A9" s="4"/>
      <c r="B9" s="4" t="s">
        <v>90</v>
      </c>
      <c r="C9" s="4" t="s">
        <v>89</v>
      </c>
      <c r="D9" s="15"/>
      <c r="E9" s="66">
        <f>SUM(E5:E8)</f>
        <v>561.48758501999998</v>
      </c>
      <c r="F9" s="13">
        <f>E9/O9</f>
        <v>0.65955095416019627</v>
      </c>
      <c r="G9" s="66">
        <f>SUM(G5:G8)</f>
        <v>467.43551517000003</v>
      </c>
      <c r="H9" s="13">
        <f>G9/P9</f>
        <v>0.61692015679047352</v>
      </c>
      <c r="I9" s="27"/>
      <c r="J9" s="66">
        <f>SUM(J5:J8)</f>
        <v>289.83039349000001</v>
      </c>
      <c r="K9" s="13">
        <f>J9/O9</f>
        <v>0.34044904583980368</v>
      </c>
      <c r="L9" s="66">
        <f>SUM(L5:L8)</f>
        <v>290.25656220000002</v>
      </c>
      <c r="M9" s="13">
        <f>L9/P9</f>
        <v>0.38307984320952643</v>
      </c>
      <c r="N9" s="27"/>
      <c r="O9" s="66">
        <f>SUM(O5:O8)</f>
        <v>851.31797850999999</v>
      </c>
      <c r="P9" s="66">
        <f>SUM(P5:P8)</f>
        <v>757.69207737000011</v>
      </c>
      <c r="Q9" s="13">
        <f>P9/O9</f>
        <v>0.89002240819127709</v>
      </c>
    </row>
    <row r="10" spans="1:18">
      <c r="A10" s="88">
        <v>2005</v>
      </c>
      <c r="B10" s="88"/>
      <c r="C10" s="88"/>
      <c r="D10" s="15"/>
      <c r="E10" s="7"/>
      <c r="F10" s="8"/>
      <c r="G10" s="7"/>
      <c r="H10" s="8"/>
      <c r="I10" s="27"/>
      <c r="J10" s="7"/>
      <c r="K10" s="8"/>
      <c r="L10" s="7"/>
      <c r="M10" s="8"/>
      <c r="N10" s="27"/>
      <c r="O10" s="7"/>
      <c r="P10" s="7"/>
      <c r="Q10" s="8"/>
    </row>
    <row r="11" spans="1:18">
      <c r="A11" s="2"/>
      <c r="B11" s="3" t="str">
        <f>gb_wk!C22</f>
        <v>Q1</v>
      </c>
      <c r="C11" s="3" t="s">
        <v>89</v>
      </c>
      <c r="D11" s="15"/>
      <c r="E11" s="65">
        <f>gb_wk!D22</f>
        <v>148.53061264999999</v>
      </c>
      <c r="F11" s="8">
        <f>E11/O11</f>
        <v>0.64505400691636361</v>
      </c>
      <c r="G11" s="65">
        <f>gb_wk!E22</f>
        <v>110.46356675</v>
      </c>
      <c r="H11" s="8">
        <f>G11/P11</f>
        <v>0.57436675569450246</v>
      </c>
      <c r="I11" s="27"/>
      <c r="J11" s="65">
        <f>gb_wk!F22</f>
        <v>81.730126850000005</v>
      </c>
      <c r="K11" s="8">
        <f>J11/O11</f>
        <v>0.35494599308363639</v>
      </c>
      <c r="L11" s="65">
        <f>gb_wk!G22</f>
        <v>81.858787660000004</v>
      </c>
      <c r="M11" s="8">
        <f>L11/P11</f>
        <v>0.42563324430549748</v>
      </c>
      <c r="N11" s="27"/>
      <c r="O11" s="65">
        <f>E11+J11</f>
        <v>230.2607395</v>
      </c>
      <c r="P11" s="65">
        <f>G11+L11</f>
        <v>192.32235441</v>
      </c>
      <c r="Q11" s="8">
        <f>P11/O11</f>
        <v>0.83523728286297805</v>
      </c>
    </row>
    <row r="12" spans="1:18">
      <c r="C12" s="3" t="s">
        <v>91</v>
      </c>
      <c r="D12" s="15"/>
      <c r="E12" s="8">
        <f>E11/E5-1</f>
        <v>0.10279048734137874</v>
      </c>
      <c r="F12" s="8"/>
      <c r="G12" s="8">
        <f>G11/G5-1</f>
        <v>-6.1347360773231885E-2</v>
      </c>
      <c r="H12" s="8"/>
      <c r="I12" s="16"/>
      <c r="J12" s="8">
        <f>J11/J5-1</f>
        <v>0.17511112684671559</v>
      </c>
      <c r="K12" s="8"/>
      <c r="L12" s="8">
        <f>L11/L5-1</f>
        <v>0.17609505187769048</v>
      </c>
      <c r="M12" s="8"/>
      <c r="N12" s="16"/>
      <c r="O12" s="8">
        <f>O11/O5-1</f>
        <v>0.127418580350392</v>
      </c>
      <c r="P12" s="8">
        <f>P11/P5-1</f>
        <v>2.6895074681744457E-2</v>
      </c>
      <c r="Q12" s="8"/>
    </row>
    <row r="13" spans="1:18">
      <c r="B13" s="3" t="str">
        <f>gb_wk!C23</f>
        <v>Q2</v>
      </c>
      <c r="C13" s="3" t="s">
        <v>89</v>
      </c>
      <c r="D13" s="15"/>
      <c r="E13" s="65">
        <f>gb_wk!D23</f>
        <v>149.23961568999999</v>
      </c>
      <c r="F13" s="8">
        <f>E13/O13</f>
        <v>0.65411639204573191</v>
      </c>
      <c r="G13" s="65">
        <f>gb_wk!E23</f>
        <v>115.91952171</v>
      </c>
      <c r="H13" s="8">
        <f>G13/P13</f>
        <v>0.5945387399804053</v>
      </c>
      <c r="I13" s="27"/>
      <c r="J13" s="65">
        <f>gb_wk!F23</f>
        <v>78.914910789999993</v>
      </c>
      <c r="K13" s="8">
        <f>J13/O13</f>
        <v>0.34588360795426809</v>
      </c>
      <c r="L13" s="65">
        <f>gb_wk!G23</f>
        <v>79.054352850000001</v>
      </c>
      <c r="M13" s="8">
        <f>L13/P13</f>
        <v>0.40546126001959465</v>
      </c>
      <c r="N13" s="27"/>
      <c r="O13" s="65">
        <f>E13+J13</f>
        <v>228.15452647999999</v>
      </c>
      <c r="P13" s="65">
        <f>G13+L13</f>
        <v>194.97387456000001</v>
      </c>
      <c r="Q13" s="8">
        <f>P13/O13</f>
        <v>0.85456939017640487</v>
      </c>
    </row>
    <row r="14" spans="1:18">
      <c r="C14" s="3" t="s">
        <v>91</v>
      </c>
      <c r="D14" s="15"/>
      <c r="E14" s="8">
        <f>E13/E6-1</f>
        <v>0.10306404225975485</v>
      </c>
      <c r="F14" s="8"/>
      <c r="G14" s="8">
        <f>G13/G6-1</f>
        <v>-3.4088873239523476E-2</v>
      </c>
      <c r="H14" s="8"/>
      <c r="I14" s="16"/>
      <c r="J14" s="8">
        <f>J13/J6-1</f>
        <v>0.14278953677874706</v>
      </c>
      <c r="K14" s="8"/>
      <c r="L14" s="8">
        <f>L13/L6-1</f>
        <v>0.14382780903262615</v>
      </c>
      <c r="M14" s="8"/>
      <c r="N14" s="16"/>
      <c r="O14" s="8">
        <f>O13/O6-1</f>
        <v>0.11648820400649118</v>
      </c>
      <c r="P14" s="8">
        <f>P13/P6-1</f>
        <v>3.0929221000135732E-2</v>
      </c>
      <c r="Q14" s="8"/>
    </row>
    <row r="15" spans="1:18">
      <c r="B15" s="3" t="str">
        <f>gb_wk!C24</f>
        <v>Q3</v>
      </c>
      <c r="C15" s="3" t="s">
        <v>89</v>
      </c>
      <c r="D15" s="15"/>
      <c r="E15" s="65">
        <f>gb_wk!D24</f>
        <v>141.52768691</v>
      </c>
      <c r="F15" s="8">
        <f>E15/O15</f>
        <v>0.65892509004241195</v>
      </c>
      <c r="G15" s="65">
        <f>gb_wk!E24</f>
        <v>116.04542513</v>
      </c>
      <c r="H15" s="8">
        <f>G15/P15</f>
        <v>0.61243199859274056</v>
      </c>
      <c r="I15" s="27"/>
      <c r="J15" s="65">
        <f>gb_wk!F24</f>
        <v>73.258013390000002</v>
      </c>
      <c r="K15" s="8">
        <f>J15/O15</f>
        <v>0.3410749099575881</v>
      </c>
      <c r="L15" s="65">
        <f>gb_wk!G24</f>
        <v>73.437530359999997</v>
      </c>
      <c r="M15" s="8">
        <f>L15/P15</f>
        <v>0.38756800140725944</v>
      </c>
      <c r="N15" s="27"/>
      <c r="O15" s="65">
        <f>E15+J15</f>
        <v>214.7857003</v>
      </c>
      <c r="P15" s="65">
        <f>G15+L15</f>
        <v>189.48295548999999</v>
      </c>
      <c r="Q15" s="8">
        <f>P15/O15</f>
        <v>0.88219539394541335</v>
      </c>
    </row>
    <row r="16" spans="1:18">
      <c r="B16" s="9"/>
      <c r="C16" s="9" t="s">
        <v>91</v>
      </c>
      <c r="D16" s="15"/>
      <c r="E16" s="16">
        <f>E15/E7-1</f>
        <v>2.0039440522535701E-2</v>
      </c>
      <c r="F16" s="16"/>
      <c r="G16" s="16">
        <f>G15/G7-1</f>
        <v>2.8838110353653468E-2</v>
      </c>
      <c r="H16" s="16"/>
      <c r="I16" s="16"/>
      <c r="J16" s="16">
        <f>J15/J7-1</f>
        <v>3.245712190170158E-2</v>
      </c>
      <c r="K16" s="16"/>
      <c r="L16" s="16">
        <f>L15/L7-1</f>
        <v>3.2911381937727802E-2</v>
      </c>
      <c r="M16" s="16"/>
      <c r="N16" s="16"/>
      <c r="O16" s="16">
        <f>O15/O7-1</f>
        <v>2.4241096189105527E-2</v>
      </c>
      <c r="P16" s="16">
        <f>P15/P7-1</f>
        <v>3.04129615724682E-2</v>
      </c>
      <c r="Q16" s="16"/>
    </row>
    <row r="17" spans="1:17" ht="16.149999999999999" customHeight="1">
      <c r="B17" s="3" t="str">
        <f>gb_wk!C25</f>
        <v>Q4</v>
      </c>
      <c r="C17" s="3" t="s">
        <v>89</v>
      </c>
      <c r="D17" s="15"/>
      <c r="E17" s="65">
        <f>gb_wk!D25</f>
        <v>150.30560618000001</v>
      </c>
      <c r="F17" s="8">
        <f>E17/O17</f>
        <v>0.65475200940842104</v>
      </c>
      <c r="G17" s="65">
        <f>gb_wk!E25</f>
        <v>123.62900908</v>
      </c>
      <c r="H17" s="8">
        <f>G17/P17</f>
        <v>0.60878917482242301</v>
      </c>
      <c r="I17" s="27"/>
      <c r="J17" s="65">
        <f>gb_wk!F25</f>
        <v>79.255516229999998</v>
      </c>
      <c r="K17" s="8">
        <f>J17/O17</f>
        <v>0.34524799059157901</v>
      </c>
      <c r="L17" s="65">
        <f>gb_wk!G25</f>
        <v>79.444590439999999</v>
      </c>
      <c r="M17" s="8">
        <f>L17/P17</f>
        <v>0.39121082517757694</v>
      </c>
      <c r="N17" s="27"/>
      <c r="O17" s="65">
        <f>E17+J17</f>
        <v>229.56112241</v>
      </c>
      <c r="P17" s="65">
        <f>G17+L17</f>
        <v>203.07359952000002</v>
      </c>
      <c r="Q17" s="8">
        <f>P17/O17</f>
        <v>0.88461668678073102</v>
      </c>
    </row>
    <row r="18" spans="1:17" ht="16.149999999999999" customHeight="1">
      <c r="B18" s="4"/>
      <c r="C18" s="4" t="s">
        <v>91</v>
      </c>
      <c r="D18" s="15"/>
      <c r="E18" s="13">
        <f>E17/E8-1</f>
        <v>-1.6058269108395584E-2</v>
      </c>
      <c r="F18" s="13"/>
      <c r="G18" s="13">
        <f>G17/G8-1</f>
        <v>5.7117573579431591E-2</v>
      </c>
      <c r="H18" s="13"/>
      <c r="I18" s="27"/>
      <c r="J18" s="13">
        <f>J17/J8-1</f>
        <v>-1.2635526031929523E-2</v>
      </c>
      <c r="K18" s="13"/>
      <c r="L18" s="13">
        <f>L17/L8-1</f>
        <v>-1.2410254825670264E-2</v>
      </c>
      <c r="M18" s="13"/>
      <c r="N18" s="27"/>
      <c r="O18" s="13">
        <f>O17/O8-1</f>
        <v>-1.4879259278349433E-2</v>
      </c>
      <c r="P18" s="13">
        <f>P17/P8-1</f>
        <v>2.8782996503401215E-2</v>
      </c>
      <c r="Q18" s="13"/>
    </row>
    <row r="19" spans="1:17">
      <c r="B19" s="3" t="s">
        <v>90</v>
      </c>
      <c r="C19" s="3" t="s">
        <v>89</v>
      </c>
      <c r="D19" s="15"/>
      <c r="E19" s="65">
        <f>E15+E13+E11+E17</f>
        <v>589.60352143</v>
      </c>
      <c r="F19" s="8">
        <f>E19/O19</f>
        <v>0.6531106354782521</v>
      </c>
      <c r="G19" s="65">
        <f>G15+G13+G11+G17</f>
        <v>466.05752266999997</v>
      </c>
      <c r="H19" s="8">
        <f>G19/P19</f>
        <v>0.59762243880372223</v>
      </c>
      <c r="I19" s="27"/>
      <c r="J19" s="65">
        <f>J15+J13+J11+J17</f>
        <v>313.15856725999998</v>
      </c>
      <c r="K19" s="8">
        <f>J19/O19</f>
        <v>0.34688936452174801</v>
      </c>
      <c r="L19" s="65">
        <f>L15+L13+L11+L17</f>
        <v>313.79526131</v>
      </c>
      <c r="M19" s="8">
        <f>L19/P19</f>
        <v>0.40237756119627771</v>
      </c>
      <c r="N19" s="27"/>
      <c r="O19" s="65">
        <f>O15+O13+O11+O17</f>
        <v>902.76208868999993</v>
      </c>
      <c r="P19" s="65">
        <f>P15+P13+P11+P17</f>
        <v>779.85278398000003</v>
      </c>
      <c r="Q19" s="8">
        <f>P19/O19</f>
        <v>0.86385194255514886</v>
      </c>
    </row>
    <row r="20" spans="1:17">
      <c r="A20" s="4"/>
      <c r="B20" s="4"/>
      <c r="C20" s="4" t="s">
        <v>91</v>
      </c>
      <c r="D20" s="15"/>
      <c r="E20" s="13">
        <f>E19/E9-1</f>
        <v>5.0074012605280549E-2</v>
      </c>
      <c r="F20" s="13"/>
      <c r="G20" s="13">
        <f>G19/G9-1</f>
        <v>-2.9479841716752997E-3</v>
      </c>
      <c r="H20" s="13"/>
      <c r="I20" s="16"/>
      <c r="J20" s="13">
        <f>J19/J9-1</f>
        <v>8.0489052542396244E-2</v>
      </c>
      <c r="K20" s="13"/>
      <c r="L20" s="13">
        <f>L19/L9-1</f>
        <v>8.1096182396664496E-2</v>
      </c>
      <c r="M20" s="13"/>
      <c r="N20" s="16"/>
      <c r="O20" s="13">
        <f>O19/O9-1</f>
        <v>6.0428783931051111E-2</v>
      </c>
      <c r="P20" s="13">
        <f>P19/P9-1</f>
        <v>2.9247641979999628E-2</v>
      </c>
      <c r="Q20" s="13"/>
    </row>
    <row r="21" spans="1:17">
      <c r="A21" s="92">
        <f>gb_wk!B44</f>
        <v>2006</v>
      </c>
      <c r="B21" s="92"/>
      <c r="C21" s="92"/>
      <c r="D21" s="15"/>
      <c r="E21" s="27"/>
      <c r="F21" s="16"/>
      <c r="G21" s="27"/>
      <c r="H21" s="16"/>
      <c r="I21" s="27"/>
      <c r="J21" s="27"/>
      <c r="K21" s="16"/>
      <c r="L21" s="27"/>
      <c r="M21" s="16"/>
      <c r="N21" s="27"/>
      <c r="O21" s="27"/>
      <c r="P21" s="27"/>
      <c r="Q21" s="16"/>
    </row>
    <row r="22" spans="1:17">
      <c r="A22" s="15"/>
      <c r="B22" s="9" t="str">
        <f>gb_wk!C44</f>
        <v>Q1</v>
      </c>
      <c r="C22" s="9" t="s">
        <v>89</v>
      </c>
      <c r="D22" s="15"/>
      <c r="E22" s="68">
        <f>gb_wk!D44</f>
        <v>142.94827998</v>
      </c>
      <c r="F22" s="16">
        <f>E22/O22</f>
        <v>0.65359373624046757</v>
      </c>
      <c r="G22" s="68">
        <f>gb_wk!E44</f>
        <v>121.77124343</v>
      </c>
      <c r="H22" s="16">
        <f>G22/P22</f>
        <v>0.61655629166142711</v>
      </c>
      <c r="I22" s="27"/>
      <c r="J22" s="68">
        <f>gb_wk!F44</f>
        <v>75.762934729999998</v>
      </c>
      <c r="K22" s="16">
        <f>J22/O22</f>
        <v>0.34640626375953248</v>
      </c>
      <c r="L22" s="68">
        <f>gb_wk!G44</f>
        <v>75.73098804</v>
      </c>
      <c r="M22" s="16">
        <f>L22/P22</f>
        <v>0.38344370833857294</v>
      </c>
      <c r="N22" s="27"/>
      <c r="O22" s="68">
        <f>E22+J22</f>
        <v>218.71121470999998</v>
      </c>
      <c r="P22" s="68">
        <f>G22+L22</f>
        <v>197.50223147</v>
      </c>
      <c r="Q22" s="16">
        <f>P22/O22</f>
        <v>0.90302745440775856</v>
      </c>
    </row>
    <row r="23" spans="1:17">
      <c r="A23" s="9"/>
      <c r="B23" s="9"/>
      <c r="C23" s="9" t="s">
        <v>91</v>
      </c>
      <c r="D23" s="15"/>
      <c r="E23" s="16">
        <f>E22/E11-1</f>
        <v>-3.758371806594718E-2</v>
      </c>
      <c r="F23" s="16"/>
      <c r="G23" s="16">
        <f>G22/G11-1</f>
        <v>0.10236566691343052</v>
      </c>
      <c r="H23" s="16"/>
      <c r="I23" s="16"/>
      <c r="J23" s="16">
        <f>J22/J11-1</f>
        <v>-7.3010924489957607E-2</v>
      </c>
      <c r="K23" s="16"/>
      <c r="L23" s="16">
        <f>L22/L11-1</f>
        <v>-7.4858177053046315E-2</v>
      </c>
      <c r="M23" s="16"/>
      <c r="N23" s="16"/>
      <c r="O23" s="16">
        <f>O22/O11-1</f>
        <v>-5.0158463032296541E-2</v>
      </c>
      <c r="P23" s="16">
        <f>P22/P11-1</f>
        <v>2.6933307237687609E-2</v>
      </c>
      <c r="Q23" s="16"/>
    </row>
    <row r="24" spans="1:17" s="15" customFormat="1">
      <c r="A24" s="9"/>
      <c r="B24" s="9" t="str">
        <f>gb_wk!C49</f>
        <v>Q2</v>
      </c>
      <c r="C24" s="9" t="s">
        <v>89</v>
      </c>
      <c r="E24" s="68">
        <f>gb_wk!D49</f>
        <v>142.04009189000001</v>
      </c>
      <c r="F24" s="16">
        <f>E24/O24</f>
        <v>0.65738336910948481</v>
      </c>
      <c r="G24" s="75">
        <f>gb_wk!E49</f>
        <v>129.002162</v>
      </c>
      <c r="H24" s="16">
        <f>G24/P24</f>
        <v>0.63876173043771456</v>
      </c>
      <c r="I24" s="27"/>
      <c r="J24" s="68">
        <f>gb_wk!F49</f>
        <v>74.028793579999999</v>
      </c>
      <c r="K24" s="16">
        <f>J24/O24</f>
        <v>0.34261663089051525</v>
      </c>
      <c r="L24" s="68">
        <f>gb_wk!G49</f>
        <v>72.954461030000004</v>
      </c>
      <c r="M24" s="16">
        <f>L24/P24</f>
        <v>0.36123826956228544</v>
      </c>
      <c r="N24" s="27"/>
      <c r="O24" s="68">
        <f>E24+J24</f>
        <v>216.06888547</v>
      </c>
      <c r="P24" s="68">
        <f>G24+L24</f>
        <v>201.95662303</v>
      </c>
      <c r="Q24" s="16">
        <f>P24/O24</f>
        <v>0.93468628113991259</v>
      </c>
    </row>
    <row r="25" spans="1:17" s="15" customFormat="1">
      <c r="A25" s="9"/>
      <c r="B25" s="9"/>
      <c r="C25" s="9" t="s">
        <v>91</v>
      </c>
      <c r="E25" s="16">
        <f>E24/E13-1</f>
        <v>-4.8241371881811879E-2</v>
      </c>
      <c r="F25" s="16"/>
      <c r="G25" s="16">
        <f>G24/G13-1</f>
        <v>0.1128596814152607</v>
      </c>
      <c r="H25" s="16"/>
      <c r="I25" s="16"/>
      <c r="J25" s="16">
        <f>J24/J13-1</f>
        <v>-6.1916273630498231E-2</v>
      </c>
      <c r="K25" s="16"/>
      <c r="L25" s="16">
        <f>L24/L13-1</f>
        <v>-7.7160733091751532E-2</v>
      </c>
      <c r="M25" s="16"/>
      <c r="N25" s="16"/>
      <c r="O25" s="16">
        <f>O24/O13-1</f>
        <v>-5.2971296237067755E-2</v>
      </c>
      <c r="P25" s="16">
        <f>P24/P13-1</f>
        <v>3.5813764719801799E-2</v>
      </c>
      <c r="Q25" s="16"/>
    </row>
    <row r="26" spans="1:17" s="15" customFormat="1">
      <c r="A26" s="9"/>
      <c r="B26" s="9" t="str">
        <f>gb_wk!C55</f>
        <v>Q3</v>
      </c>
      <c r="C26" s="9" t="s">
        <v>89</v>
      </c>
      <c r="E26" s="68">
        <f>gb_wk!D55</f>
        <v>138.48284221</v>
      </c>
      <c r="F26" s="16">
        <f>E26/O26</f>
        <v>0.65182310119361697</v>
      </c>
      <c r="G26" s="75">
        <f>gb_wk!E55</f>
        <v>120.06027646</v>
      </c>
      <c r="H26" s="16">
        <f>G26/P26</f>
        <v>0.62226067367855464</v>
      </c>
      <c r="I26" s="27"/>
      <c r="J26" s="68">
        <f>gb_wk!F55</f>
        <v>73.971797640000005</v>
      </c>
      <c r="K26" s="16">
        <f>J26/O26</f>
        <v>0.34817689880638303</v>
      </c>
      <c r="L26" s="68">
        <f>gb_wk!G55</f>
        <v>72.881816040000004</v>
      </c>
      <c r="M26" s="16">
        <f>L26/P26</f>
        <v>0.37773932632144541</v>
      </c>
      <c r="N26" s="27"/>
      <c r="O26" s="68">
        <f>E26+J26</f>
        <v>212.45463985000001</v>
      </c>
      <c r="P26" s="68">
        <f>G26+L26</f>
        <v>192.9420925</v>
      </c>
      <c r="Q26" s="16">
        <f>P26/O26</f>
        <v>0.90815664292492504</v>
      </c>
    </row>
    <row r="27" spans="1:17" s="15" customFormat="1">
      <c r="A27" s="9"/>
      <c r="B27" s="9"/>
      <c r="C27" s="9" t="s">
        <v>91</v>
      </c>
      <c r="E27" s="16">
        <f>E26/E15-1</f>
        <v>-2.1514127493204027E-2</v>
      </c>
      <c r="F27" s="16"/>
      <c r="G27" s="16">
        <f>G26/G15-1</f>
        <v>3.4597239188898232E-2</v>
      </c>
      <c r="H27" s="16"/>
      <c r="I27" s="16"/>
      <c r="J27" s="16">
        <f>J26/J15-1</f>
        <v>9.7434289706992416E-3</v>
      </c>
      <c r="K27" s="16"/>
      <c r="L27" s="16">
        <f>L26/L15-1</f>
        <v>-7.5671705907839337E-3</v>
      </c>
      <c r="M27" s="16"/>
      <c r="N27" s="16"/>
      <c r="O27" s="16">
        <f>O26/O15-1</f>
        <v>-1.0852959236783977E-2</v>
      </c>
      <c r="P27" s="16">
        <f>P26/P15-1</f>
        <v>1.8255663160070101E-2</v>
      </c>
      <c r="Q27" s="16"/>
    </row>
    <row r="28" spans="1:17" s="15" customFormat="1" ht="16.149999999999999" customHeight="1">
      <c r="A28" s="9"/>
      <c r="B28" s="9" t="str">
        <f>gb_wk!C61</f>
        <v>Q4</v>
      </c>
      <c r="C28" s="9" t="s">
        <v>89</v>
      </c>
      <c r="E28" s="68">
        <f>gb_wk!D61</f>
        <v>147.45277168999999</v>
      </c>
      <c r="F28" s="16">
        <f>E28/O28</f>
        <v>0.65576471067045849</v>
      </c>
      <c r="G28" s="75">
        <f>gb_wk!E61</f>
        <v>131.4139624</v>
      </c>
      <c r="H28" s="16">
        <f>G28/P28</f>
        <v>0.6328614738059325</v>
      </c>
      <c r="I28" s="27"/>
      <c r="J28" s="68">
        <f>gb_wk!F61</f>
        <v>77.403444710000002</v>
      </c>
      <c r="K28" s="16">
        <f>J28/O28</f>
        <v>0.34423528932954156</v>
      </c>
      <c r="L28" s="68">
        <f>gb_wk!G61</f>
        <v>76.236475870000007</v>
      </c>
      <c r="M28" s="16">
        <f>L28/P28</f>
        <v>0.36713852619406756</v>
      </c>
      <c r="N28" s="27"/>
      <c r="O28" s="68">
        <f>E28+J28</f>
        <v>224.85621639999999</v>
      </c>
      <c r="P28" s="68">
        <f>G28+L28</f>
        <v>207.65043827</v>
      </c>
      <c r="Q28" s="16">
        <f>P28/O28</f>
        <v>0.92348097639696836</v>
      </c>
    </row>
    <row r="29" spans="1:17" s="15" customFormat="1" ht="16.149999999999999" customHeight="1">
      <c r="A29" s="9"/>
      <c r="B29" s="4"/>
      <c r="C29" s="4" t="s">
        <v>91</v>
      </c>
      <c r="E29" s="13">
        <f>E28/E17-1</f>
        <v>-1.8980226769343411E-2</v>
      </c>
      <c r="F29" s="13"/>
      <c r="G29" s="13">
        <f>G28/G17-1</f>
        <v>6.2970280017065949E-2</v>
      </c>
      <c r="H29" s="13"/>
      <c r="I29" s="27"/>
      <c r="J29" s="13">
        <f>J28/J17-1</f>
        <v>-2.3368361069345256E-2</v>
      </c>
      <c r="K29" s="13"/>
      <c r="L29" s="13">
        <f>L28/L17-1</f>
        <v>-4.0381787510414546E-2</v>
      </c>
      <c r="M29" s="13"/>
      <c r="N29" s="27"/>
      <c r="O29" s="13">
        <f>O28/O17-1</f>
        <v>-2.0495221318864942E-2</v>
      </c>
      <c r="P29" s="13">
        <f>P28/P17-1</f>
        <v>2.2537832395831625E-2</v>
      </c>
      <c r="Q29" s="13"/>
    </row>
    <row r="30" spans="1:17" s="15" customFormat="1">
      <c r="A30" s="9"/>
      <c r="B30" s="9" t="s">
        <v>90</v>
      </c>
      <c r="C30" s="9" t="s">
        <v>89</v>
      </c>
      <c r="E30" s="68">
        <f>E26+E24+E22+E28</f>
        <v>570.92398577000006</v>
      </c>
      <c r="F30" s="16">
        <f>E30/O30</f>
        <v>0.65466105520362239</v>
      </c>
      <c r="G30" s="75">
        <f>G26+G24+G22+G28</f>
        <v>502.24764428999998</v>
      </c>
      <c r="H30" s="16">
        <f>G30/P30</f>
        <v>0.62776923274809693</v>
      </c>
      <c r="I30" s="27"/>
      <c r="J30" s="68">
        <f>J26+J24+J22+J28</f>
        <v>301.16697065999995</v>
      </c>
      <c r="K30" s="16">
        <f>J30/O30</f>
        <v>0.34533894479637761</v>
      </c>
      <c r="L30" s="68">
        <f>L26+L24+L22+L28</f>
        <v>297.80374097999999</v>
      </c>
      <c r="M30" s="16">
        <f>L30/P30</f>
        <v>0.37223076725190307</v>
      </c>
      <c r="N30" s="27"/>
      <c r="O30" s="68">
        <f>O26+O24+O22+O28</f>
        <v>872.09095643000001</v>
      </c>
      <c r="P30" s="68">
        <f>P26+P24+P22+P28</f>
        <v>800.05138526999997</v>
      </c>
      <c r="Q30" s="16">
        <f>P30/O30</f>
        <v>0.91739442929794623</v>
      </c>
    </row>
    <row r="31" spans="1:17" s="11" customFormat="1">
      <c r="A31" s="4"/>
      <c r="B31" s="4"/>
      <c r="C31" s="4" t="s">
        <v>91</v>
      </c>
      <c r="E31" s="13">
        <f>E30/E19-1</f>
        <v>-3.1681519836746164E-2</v>
      </c>
      <c r="F31" s="13"/>
      <c r="G31" s="13">
        <f>G30/G19-1</f>
        <v>7.7651619938822636E-2</v>
      </c>
      <c r="H31" s="13"/>
      <c r="I31" s="13"/>
      <c r="J31" s="13">
        <f>J30/J19-1</f>
        <v>-3.8292411109557833E-2</v>
      </c>
      <c r="K31" s="13"/>
      <c r="L31" s="13">
        <f>L30/L19-1</f>
        <v>-5.0961637416831129E-2</v>
      </c>
      <c r="M31" s="13"/>
      <c r="N31" s="13"/>
      <c r="O31" s="13">
        <f>O30/O19-1</f>
        <v>-3.3974767709294085E-2</v>
      </c>
      <c r="P31" s="13">
        <f>P30/P19-1</f>
        <v>2.5900531106545222E-2</v>
      </c>
      <c r="Q31" s="13"/>
    </row>
    <row r="32" spans="1:17">
      <c r="A32" s="34" t="str">
        <f>說明!B18</f>
        <v>1.</v>
      </c>
      <c r="B32" s="34" t="str">
        <f>說明!C18</f>
        <v>資料來源：總額各案件核定醫療費用分攤明細(PHFB_DECIDE_DIST)</v>
      </c>
      <c r="C32" s="9"/>
      <c r="D32" s="15"/>
      <c r="E32" s="16"/>
      <c r="F32" s="16"/>
      <c r="G32" s="16"/>
      <c r="H32" s="16"/>
      <c r="I32" s="16"/>
      <c r="J32" s="16"/>
      <c r="K32" s="16"/>
      <c r="L32" s="16"/>
      <c r="M32" s="16"/>
      <c r="N32" s="16"/>
      <c r="O32" s="16"/>
      <c r="P32" s="16"/>
      <c r="Q32" s="16"/>
    </row>
    <row r="33" spans="1:17">
      <c r="A33" s="34" t="str">
        <f>說明!B19</f>
        <v>2.</v>
      </c>
      <c r="B33" s="34" t="str">
        <f>說明!C19</f>
        <v>資料處理：</v>
      </c>
      <c r="C33" s="9"/>
      <c r="D33" s="15"/>
      <c r="E33" s="16"/>
      <c r="F33" s="16"/>
      <c r="G33" s="16"/>
      <c r="H33" s="16"/>
      <c r="I33" s="16"/>
      <c r="J33" s="16"/>
      <c r="K33" s="16"/>
      <c r="L33" s="16"/>
      <c r="M33" s="16"/>
      <c r="N33" s="16"/>
      <c r="O33" s="16"/>
      <c r="P33" s="16"/>
      <c r="Q33" s="16"/>
    </row>
    <row r="34" spans="1:17">
      <c r="A34" s="34"/>
      <c r="B34" s="34" t="str">
        <f>說明!C20</f>
        <v>※本表僅含當季核定之送核、補報資料</v>
      </c>
      <c r="C34" s="9"/>
      <c r="D34" s="15"/>
      <c r="E34" s="16"/>
      <c r="F34" s="16"/>
      <c r="G34" s="16"/>
      <c r="H34" s="16"/>
      <c r="I34" s="16"/>
      <c r="J34" s="16"/>
      <c r="K34" s="16"/>
      <c r="L34" s="16"/>
      <c r="M34" s="16"/>
      <c r="N34" s="16"/>
      <c r="O34" s="16"/>
      <c r="P34" s="16"/>
      <c r="Q34" s="16"/>
    </row>
    <row r="35" spans="1:17">
      <c r="A35" s="34"/>
      <c r="B35" s="34" t="str">
        <f>說明!C21</f>
        <v>※本表不含申複、爭議審議等之核定醫療點數及費用</v>
      </c>
      <c r="C35" s="9"/>
      <c r="D35" s="15"/>
      <c r="E35" s="16"/>
      <c r="F35" s="16"/>
      <c r="G35" s="16"/>
      <c r="H35" s="16"/>
      <c r="I35" s="16"/>
      <c r="J35" s="16"/>
      <c r="K35" s="16"/>
      <c r="L35" s="16"/>
      <c r="M35" s="16"/>
      <c r="N35" s="16"/>
      <c r="O35" s="16"/>
      <c r="P35" s="16"/>
      <c r="Q35" s="16"/>
    </row>
    <row r="36" spans="1:17">
      <c r="A36" s="34"/>
      <c r="B36" s="34" t="str">
        <f>說明!C22</f>
        <v>※本表不含代辦、總額外及追扣、補付付款之項目</v>
      </c>
      <c r="E36" s="7"/>
      <c r="F36" s="8"/>
      <c r="G36" s="7"/>
      <c r="H36" s="8"/>
      <c r="J36" s="7"/>
      <c r="K36" s="8"/>
      <c r="L36" s="7"/>
      <c r="M36" s="8"/>
      <c r="O36" s="7"/>
      <c r="P36" s="7"/>
      <c r="Q36" s="8"/>
    </row>
    <row r="37" spans="1:17">
      <c r="A37" s="34"/>
      <c r="B37" s="34" t="str">
        <f>說明!C23</f>
        <v>※本表所謂浮動點值部分係指各總額別中一般部門預算之浮動點值部份</v>
      </c>
      <c r="E37" s="7"/>
      <c r="F37" s="8"/>
      <c r="G37" s="7"/>
      <c r="H37" s="8"/>
      <c r="J37" s="7"/>
      <c r="K37" s="8"/>
      <c r="L37" s="7"/>
      <c r="M37" s="8"/>
      <c r="O37" s="7"/>
      <c r="P37" s="7"/>
      <c r="Q37" s="8"/>
    </row>
    <row r="38" spans="1:17">
      <c r="A38" s="34"/>
      <c r="B38" s="34" t="str">
        <f>說明!C24</f>
        <v>※本表所謂固定點值部分係指各總額別中一般部門預算之非浮動點值及專款部份</v>
      </c>
      <c r="E38" s="7"/>
      <c r="F38" s="8"/>
      <c r="G38" s="7"/>
      <c r="H38" s="8"/>
      <c r="J38" s="7"/>
      <c r="K38" s="8"/>
      <c r="L38" s="7"/>
      <c r="M38" s="8"/>
      <c r="O38" s="7"/>
      <c r="P38" s="7"/>
      <c r="Q38" s="8"/>
    </row>
    <row r="39" spans="1:17">
      <c r="A39" s="34"/>
      <c r="B39" s="34" t="str">
        <f>說明!C25</f>
        <v>※層級別中不含處方釋出之醫療點數及費用</v>
      </c>
    </row>
    <row r="40" spans="1:17">
      <c r="A40" s="34"/>
      <c r="B40" s="34"/>
    </row>
    <row r="41" spans="1:17">
      <c r="A41" s="34"/>
      <c r="B41" s="34"/>
    </row>
    <row r="42" spans="1:17">
      <c r="A42" s="34"/>
      <c r="B42" s="34"/>
    </row>
  </sheetData>
  <mergeCells count="7">
    <mergeCell ref="A21:C21"/>
    <mergeCell ref="A10:C10"/>
    <mergeCell ref="A1:Q1"/>
    <mergeCell ref="A4:C4"/>
    <mergeCell ref="E2:H2"/>
    <mergeCell ref="J2:M2"/>
    <mergeCell ref="O2:Q2"/>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91"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13">
    <pageSetUpPr fitToPage="1"/>
  </sheetPr>
  <dimension ref="A1:V45"/>
  <sheetViews>
    <sheetView showGridLines="0" zoomScale="75" workbookViewId="0">
      <pane ySplit="3" topLeftCell="A4" activePane="bottomLeft" state="frozen"/>
      <selection pane="bottomLeft" activeCell="R3" sqref="R3"/>
    </sheetView>
  </sheetViews>
  <sheetFormatPr defaultColWidth="8.875" defaultRowHeight="16.5"/>
  <cols>
    <col min="1" max="1" width="3.625" style="3" customWidth="1"/>
    <col min="2" max="2" width="4.125" style="3" customWidth="1"/>
    <col min="3" max="3" width="6.5" style="3" bestFit="1" customWidth="1"/>
    <col min="4" max="4" width="2.125" style="2" customWidth="1"/>
    <col min="5" max="5" width="12.375" style="3" customWidth="1"/>
    <col min="6" max="6" width="11.125" style="3" bestFit="1" customWidth="1"/>
    <col min="7" max="7" width="12.125" style="3" customWidth="1"/>
    <col min="8" max="8" width="11.125" style="3" bestFit="1" customWidth="1"/>
    <col min="9" max="9" width="1.875" style="3" customWidth="1"/>
    <col min="10" max="10" width="11.25" style="3" customWidth="1"/>
    <col min="11" max="11" width="11.125" style="3" bestFit="1" customWidth="1"/>
    <col min="12" max="12" width="11.5" style="3" bestFit="1" customWidth="1"/>
    <col min="13" max="13" width="11.125" style="3" bestFit="1" customWidth="1"/>
    <col min="14" max="14" width="2.25" style="3" customWidth="1"/>
    <col min="15" max="15" width="11.875" style="3" customWidth="1"/>
    <col min="16" max="16" width="12.875" style="3" bestFit="1" customWidth="1"/>
    <col min="17" max="17" width="11.125" style="3" bestFit="1" customWidth="1"/>
    <col min="18" max="16384" width="8.875" style="2"/>
  </cols>
  <sheetData>
    <row r="1" spans="1:22" ht="40.9" customHeight="1">
      <c r="A1" s="89" t="s">
        <v>203</v>
      </c>
      <c r="B1" s="89"/>
      <c r="C1" s="89"/>
      <c r="D1" s="89"/>
      <c r="E1" s="89"/>
      <c r="F1" s="89"/>
      <c r="G1" s="89"/>
      <c r="H1" s="89"/>
      <c r="I1" s="89"/>
      <c r="J1" s="89"/>
      <c r="K1" s="89"/>
      <c r="L1" s="89"/>
      <c r="M1" s="89"/>
      <c r="N1" s="89"/>
      <c r="O1" s="89"/>
      <c r="P1" s="89"/>
      <c r="Q1" s="89"/>
    </row>
    <row r="2" spans="1:22" s="3" customFormat="1">
      <c r="E2" s="90" t="s">
        <v>82</v>
      </c>
      <c r="F2" s="90"/>
      <c r="G2" s="90"/>
      <c r="H2" s="90"/>
      <c r="J2" s="90" t="s">
        <v>83</v>
      </c>
      <c r="K2" s="90"/>
      <c r="L2" s="90"/>
      <c r="M2" s="90"/>
      <c r="O2" s="90" t="s">
        <v>84</v>
      </c>
      <c r="P2" s="90"/>
      <c r="Q2" s="90"/>
    </row>
    <row r="3" spans="1:22" s="3" customFormat="1" ht="33">
      <c r="A3" s="4" t="s">
        <v>85</v>
      </c>
      <c r="B3" s="4" t="s">
        <v>86</v>
      </c>
      <c r="C3" s="4" t="s">
        <v>87</v>
      </c>
      <c r="E3" s="5" t="s">
        <v>218</v>
      </c>
      <c r="F3" s="6" t="s">
        <v>88</v>
      </c>
      <c r="G3" s="35" t="s">
        <v>219</v>
      </c>
      <c r="H3" s="6" t="s">
        <v>88</v>
      </c>
      <c r="J3" s="5" t="s">
        <v>218</v>
      </c>
      <c r="K3" s="6" t="s">
        <v>88</v>
      </c>
      <c r="L3" s="35" t="s">
        <v>219</v>
      </c>
      <c r="M3" s="6" t="s">
        <v>88</v>
      </c>
      <c r="O3" s="5" t="s">
        <v>220</v>
      </c>
      <c r="P3" s="35" t="s">
        <v>221</v>
      </c>
      <c r="Q3" s="35" t="s">
        <v>216</v>
      </c>
      <c r="R3" s="84"/>
    </row>
    <row r="4" spans="1:22">
      <c r="A4" s="88">
        <f>gb_wk!B26</f>
        <v>2004</v>
      </c>
      <c r="B4" s="88"/>
      <c r="C4" s="88"/>
      <c r="D4" s="9"/>
      <c r="E4" s="10"/>
      <c r="F4" s="9"/>
      <c r="G4" s="9"/>
      <c r="H4" s="9"/>
      <c r="I4" s="9"/>
      <c r="J4" s="10"/>
      <c r="K4" s="9"/>
      <c r="L4" s="9"/>
      <c r="M4" s="9"/>
      <c r="N4" s="9"/>
      <c r="O4" s="10"/>
      <c r="P4" s="9"/>
      <c r="Q4" s="9"/>
    </row>
    <row r="5" spans="1:22">
      <c r="A5" s="2"/>
      <c r="B5" s="3" t="str">
        <f>gb_wk!C26</f>
        <v>Q1</v>
      </c>
      <c r="C5" s="3" t="s">
        <v>89</v>
      </c>
      <c r="D5" s="15"/>
      <c r="E5" s="65">
        <f>gb_wk!D26</f>
        <v>432.95670457</v>
      </c>
      <c r="F5" s="8">
        <f>E5/O5</f>
        <v>0.68208807047925746</v>
      </c>
      <c r="G5" s="65">
        <f>gb_wk!E26</f>
        <v>366.13399575</v>
      </c>
      <c r="H5" s="8">
        <f>G5/P5</f>
        <v>0.64468246375046423</v>
      </c>
      <c r="I5" s="16"/>
      <c r="J5" s="65">
        <f>gb_wk!F26</f>
        <v>201.79520403000001</v>
      </c>
      <c r="K5" s="8">
        <f>J5/O5</f>
        <v>0.31791192952074254</v>
      </c>
      <c r="L5" s="65">
        <f>gb_wk!G26</f>
        <v>201.79520403000001</v>
      </c>
      <c r="M5" s="8">
        <f>L5/P5</f>
        <v>0.35531753624953583</v>
      </c>
      <c r="N5" s="16"/>
      <c r="O5" s="65">
        <f>E5+J5</f>
        <v>634.75190859999998</v>
      </c>
      <c r="P5" s="65">
        <f>G5+L5</f>
        <v>567.92919977999998</v>
      </c>
      <c r="Q5" s="8">
        <f>P5/O5</f>
        <v>0.89472625774787629</v>
      </c>
    </row>
    <row r="6" spans="1:22">
      <c r="B6" s="3" t="str">
        <f>gb_wk!C27</f>
        <v>Q2</v>
      </c>
      <c r="C6" s="3" t="s">
        <v>89</v>
      </c>
      <c r="D6" s="15"/>
      <c r="E6" s="65">
        <f>gb_wk!D27</f>
        <v>463.06387511999998</v>
      </c>
      <c r="F6" s="8">
        <f>E6/O6</f>
        <v>0.68878108210545508</v>
      </c>
      <c r="G6" s="65">
        <f>gb_wk!E27</f>
        <v>389.50850677</v>
      </c>
      <c r="H6" s="8">
        <f>G6/P6</f>
        <v>0.65054771292089353</v>
      </c>
      <c r="I6" s="27"/>
      <c r="J6" s="65">
        <f>gb_wk!F27</f>
        <v>209.23083091999999</v>
      </c>
      <c r="K6" s="8">
        <f>J6/O6</f>
        <v>0.31121891789454498</v>
      </c>
      <c r="L6" s="65">
        <f>gb_wk!G27</f>
        <v>209.23083091999999</v>
      </c>
      <c r="M6" s="8">
        <f>L6/P6</f>
        <v>0.34945228707910658</v>
      </c>
      <c r="N6" s="27"/>
      <c r="O6" s="65">
        <f>E6+J6</f>
        <v>672.29470603999994</v>
      </c>
      <c r="P6" s="65">
        <f>G6+L6</f>
        <v>598.73933768999996</v>
      </c>
      <c r="Q6" s="8">
        <f>P6/O6</f>
        <v>0.89059058819120973</v>
      </c>
    </row>
    <row r="7" spans="1:22">
      <c r="B7" s="3" t="str">
        <f>gb_wk!C28</f>
        <v>Q3</v>
      </c>
      <c r="C7" s="3" t="s">
        <v>89</v>
      </c>
      <c r="D7" s="15"/>
      <c r="E7" s="65">
        <f>gb_wk!D28</f>
        <v>474.51936423000001</v>
      </c>
      <c r="F7" s="8">
        <f>E7/O7</f>
        <v>0.70641639320854643</v>
      </c>
      <c r="G7" s="65">
        <f>gb_wk!E28</f>
        <v>418.10908261999998</v>
      </c>
      <c r="H7" s="8">
        <f>G7/P7</f>
        <v>0.67950160572976803</v>
      </c>
      <c r="I7" s="27"/>
      <c r="J7" s="65">
        <f>gb_wk!F28</f>
        <v>197.20820154</v>
      </c>
      <c r="K7" s="8">
        <f>J7/O7</f>
        <v>0.29358360679145368</v>
      </c>
      <c r="L7" s="65">
        <f>gb_wk!G28</f>
        <v>197.20820154</v>
      </c>
      <c r="M7" s="8">
        <f>L7/P7</f>
        <v>0.32049839427023191</v>
      </c>
      <c r="N7" s="27"/>
      <c r="O7" s="65">
        <f>E7+J7</f>
        <v>671.72756576999996</v>
      </c>
      <c r="P7" s="65">
        <f>G7+L7</f>
        <v>615.31728415999999</v>
      </c>
      <c r="Q7" s="8">
        <f>P7/O7</f>
        <v>0.9160220832305177</v>
      </c>
    </row>
    <row r="8" spans="1:22">
      <c r="B8" s="4" t="str">
        <f>gb_wk!C29</f>
        <v>Q4</v>
      </c>
      <c r="C8" s="4" t="s">
        <v>89</v>
      </c>
      <c r="D8" s="15"/>
      <c r="E8" s="66">
        <f>gb_wk!D29</f>
        <v>481.46729950000002</v>
      </c>
      <c r="F8" s="13">
        <f>E8/O8</f>
        <v>0.7044608721911203</v>
      </c>
      <c r="G8" s="66">
        <f>gb_wk!E29</f>
        <v>420.49772488999997</v>
      </c>
      <c r="H8" s="13">
        <f>G8/P8</f>
        <v>0.67551417816306025</v>
      </c>
      <c r="I8" s="27"/>
      <c r="J8" s="66">
        <f>gb_wk!F29</f>
        <v>201.98769211999999</v>
      </c>
      <c r="K8" s="13">
        <f>J8/O8</f>
        <v>0.2955391278088797</v>
      </c>
      <c r="L8" s="66">
        <f>gb_wk!G29</f>
        <v>201.98769211999999</v>
      </c>
      <c r="M8" s="13">
        <f>L8/P8</f>
        <v>0.32448582183693975</v>
      </c>
      <c r="N8" s="27"/>
      <c r="O8" s="66">
        <f>E8+J8</f>
        <v>683.45499161999999</v>
      </c>
      <c r="P8" s="66">
        <f>G8+L8</f>
        <v>622.48541700999999</v>
      </c>
      <c r="Q8" s="13">
        <f>P8/O8</f>
        <v>0.91079211453927167</v>
      </c>
    </row>
    <row r="9" spans="1:22">
      <c r="A9" s="4"/>
      <c r="B9" s="4" t="s">
        <v>90</v>
      </c>
      <c r="C9" s="4" t="s">
        <v>89</v>
      </c>
      <c r="D9" s="15"/>
      <c r="E9" s="66">
        <f>SUM(E5:E8)</f>
        <v>1852.0072434200001</v>
      </c>
      <c r="F9" s="13">
        <f>E9/O9</f>
        <v>0.69566033716316378</v>
      </c>
      <c r="G9" s="66">
        <f>SUM(G5:G8)</f>
        <v>1594.2493100299998</v>
      </c>
      <c r="H9" s="13">
        <f>G9/P9</f>
        <v>0.66303530040630809</v>
      </c>
      <c r="I9" s="27"/>
      <c r="J9" s="66">
        <f>SUM(J5:J8)</f>
        <v>810.22192861000008</v>
      </c>
      <c r="K9" s="13">
        <f>J9/O9</f>
        <v>0.30433966283683633</v>
      </c>
      <c r="L9" s="66">
        <f>SUM(L5:L8)</f>
        <v>810.22192861000008</v>
      </c>
      <c r="M9" s="13">
        <f>L9/P9</f>
        <v>0.33696469959369202</v>
      </c>
      <c r="N9" s="27"/>
      <c r="O9" s="66">
        <f>SUM(O5:O8)</f>
        <v>2662.22917203</v>
      </c>
      <c r="P9" s="66">
        <f>SUM(P5:P8)</f>
        <v>2404.4712386399997</v>
      </c>
      <c r="Q9" s="13">
        <f>P9/O9</f>
        <v>0.90317966007657602</v>
      </c>
    </row>
    <row r="10" spans="1:22">
      <c r="A10" s="88">
        <f>gb_wk!B30</f>
        <v>2005</v>
      </c>
      <c r="B10" s="88"/>
      <c r="C10" s="88"/>
      <c r="D10" s="15"/>
      <c r="E10" s="7"/>
      <c r="F10" s="8"/>
      <c r="G10" s="7"/>
      <c r="H10" s="8"/>
      <c r="I10" s="27"/>
      <c r="J10" s="7"/>
      <c r="K10" s="8"/>
      <c r="L10" s="7"/>
      <c r="M10" s="8"/>
      <c r="N10" s="27"/>
      <c r="O10" s="7"/>
      <c r="P10" s="7"/>
      <c r="Q10" s="8"/>
    </row>
    <row r="11" spans="1:22">
      <c r="A11" s="2"/>
      <c r="B11" s="3" t="str">
        <f>gb_wk!C30</f>
        <v>Q1</v>
      </c>
      <c r="C11" s="3" t="s">
        <v>89</v>
      </c>
      <c r="D11" s="15"/>
      <c r="E11" s="65">
        <f>gb_wk!D30</f>
        <v>387.56390069000003</v>
      </c>
      <c r="F11" s="8">
        <f>E11/O11</f>
        <v>0.59275676110405118</v>
      </c>
      <c r="G11" s="65">
        <f>gb_wk!E30</f>
        <v>321.0630726</v>
      </c>
      <c r="H11" s="8">
        <f>G11/P11</f>
        <v>0.5466465422135196</v>
      </c>
      <c r="I11" s="27"/>
      <c r="J11" s="65">
        <f>gb_wk!F30</f>
        <v>266.26904753000002</v>
      </c>
      <c r="K11" s="8">
        <f>J11/O11</f>
        <v>0.40724323889594882</v>
      </c>
      <c r="L11" s="65">
        <f>gb_wk!G30</f>
        <v>266.26904753000002</v>
      </c>
      <c r="M11" s="8">
        <f>L11/P11</f>
        <v>0.45335345778648045</v>
      </c>
      <c r="N11" s="27"/>
      <c r="O11" s="65">
        <f>E11+J11</f>
        <v>653.83294822000005</v>
      </c>
      <c r="P11" s="65">
        <f>G11+L11</f>
        <v>587.33212013000002</v>
      </c>
      <c r="Q11" s="8">
        <f>P11/O11</f>
        <v>0.89829079695197012</v>
      </c>
    </row>
    <row r="12" spans="1:22">
      <c r="C12" s="3" t="s">
        <v>91</v>
      </c>
      <c r="D12" s="15"/>
      <c r="E12" s="8">
        <f>E11/E5-1</f>
        <v>-0.10484374858008672</v>
      </c>
      <c r="F12" s="8"/>
      <c r="G12" s="8">
        <f>G11/G5-1</f>
        <v>-0.12309953097273951</v>
      </c>
      <c r="H12" s="8"/>
      <c r="I12" s="16"/>
      <c r="J12" s="8">
        <f>J11/J5-1</f>
        <v>0.31950136679370722</v>
      </c>
      <c r="K12" s="8"/>
      <c r="L12" s="8">
        <f>L11/L5-1</f>
        <v>0.31950136679370722</v>
      </c>
      <c r="M12" s="8"/>
      <c r="N12" s="16"/>
      <c r="O12" s="8">
        <f>O11/O5-1</f>
        <v>3.0060625831098253E-2</v>
      </c>
      <c r="P12" s="8">
        <f>P11/P5-1</f>
        <v>3.4164329563467044E-2</v>
      </c>
      <c r="Q12" s="8"/>
    </row>
    <row r="13" spans="1:22">
      <c r="B13" s="3" t="str">
        <f>gb_wk!C31</f>
        <v>Q2</v>
      </c>
      <c r="C13" s="3" t="s">
        <v>89</v>
      </c>
      <c r="D13" s="15"/>
      <c r="E13" s="65">
        <f>gb_wk!D31</f>
        <v>410.53200846999999</v>
      </c>
      <c r="F13" s="8">
        <f>E13/O13</f>
        <v>0.59788895336919234</v>
      </c>
      <c r="G13" s="65">
        <f>gb_wk!E31</f>
        <v>351.71002404000001</v>
      </c>
      <c r="H13" s="8">
        <f>G13/P13</f>
        <v>0.56021382410145759</v>
      </c>
      <c r="I13" s="27"/>
      <c r="J13" s="65">
        <f>gb_wk!F31</f>
        <v>276.10387292000001</v>
      </c>
      <c r="K13" s="8">
        <f>J13/O13</f>
        <v>0.40211104663080766</v>
      </c>
      <c r="L13" s="65">
        <f>gb_wk!G31</f>
        <v>276.10387292000001</v>
      </c>
      <c r="M13" s="8">
        <f>L13/P13</f>
        <v>0.43978617589854258</v>
      </c>
      <c r="N13" s="27"/>
      <c r="O13" s="65">
        <f>E13+J13</f>
        <v>686.63588139000001</v>
      </c>
      <c r="P13" s="65">
        <f>G13+L13</f>
        <v>627.81389695999997</v>
      </c>
      <c r="Q13" s="8">
        <f>P13/O13</f>
        <v>0.91433307517963813</v>
      </c>
    </row>
    <row r="14" spans="1:22">
      <c r="C14" s="3" t="s">
        <v>91</v>
      </c>
      <c r="D14" s="15"/>
      <c r="E14" s="8">
        <f>E13/E6-1</f>
        <v>-0.11344410452313236</v>
      </c>
      <c r="F14" s="8"/>
      <c r="G14" s="8">
        <f>G13/G6-1</f>
        <v>-9.7041481952330089E-2</v>
      </c>
      <c r="H14" s="8"/>
      <c r="I14" s="16"/>
      <c r="J14" s="8">
        <f>J13/J6-1</f>
        <v>0.31961370944212875</v>
      </c>
      <c r="K14" s="8"/>
      <c r="L14" s="8">
        <f>L13/L6-1</f>
        <v>0.31961370944212875</v>
      </c>
      <c r="M14" s="8"/>
      <c r="N14" s="16"/>
      <c r="O14" s="8">
        <f>O13/O6-1</f>
        <v>2.1331679724913455E-2</v>
      </c>
      <c r="P14" s="8">
        <f>P13/P6-1</f>
        <v>4.8559627603846467E-2</v>
      </c>
      <c r="Q14" s="8"/>
    </row>
    <row r="15" spans="1:22">
      <c r="B15" s="3" t="str">
        <f>gb_wk!C32</f>
        <v>Q3</v>
      </c>
      <c r="C15" s="3" t="s">
        <v>89</v>
      </c>
      <c r="D15" s="15"/>
      <c r="E15" s="65">
        <f>gb_wk!D32</f>
        <v>401.71422143000001</v>
      </c>
      <c r="F15" s="8">
        <f>E15/O15</f>
        <v>0.5923495264056059</v>
      </c>
      <c r="G15" s="65">
        <f>gb_wk!E32</f>
        <v>338.76251388999998</v>
      </c>
      <c r="H15" s="8">
        <f>G15/P15</f>
        <v>0.55063708797215027</v>
      </c>
      <c r="I15" s="27"/>
      <c r="J15" s="65">
        <f>gb_wk!F32</f>
        <v>276.45669543999998</v>
      </c>
      <c r="K15" s="8">
        <f>J15/O15</f>
        <v>0.40765047359439416</v>
      </c>
      <c r="L15" s="65">
        <f>gb_wk!G32</f>
        <v>276.45669543999998</v>
      </c>
      <c r="M15" s="8">
        <f>L15/P15</f>
        <v>0.44936291202784961</v>
      </c>
      <c r="N15" s="27"/>
      <c r="O15" s="65">
        <f>E15+J15</f>
        <v>678.17091686999993</v>
      </c>
      <c r="P15" s="65">
        <f>G15+L15</f>
        <v>615.21920933000001</v>
      </c>
      <c r="Q15" s="8">
        <f>P15/O15</f>
        <v>0.90717427425147568</v>
      </c>
    </row>
    <row r="16" spans="1:22">
      <c r="B16" s="9"/>
      <c r="C16" s="9" t="s">
        <v>91</v>
      </c>
      <c r="D16" s="15"/>
      <c r="E16" s="16">
        <f>E15/E7-1</f>
        <v>-0.15342923448053702</v>
      </c>
      <c r="F16" s="16"/>
      <c r="G16" s="16">
        <f>G15/G7-1</f>
        <v>-0.18977480286433868</v>
      </c>
      <c r="H16" s="16"/>
      <c r="I16" s="16"/>
      <c r="J16" s="16">
        <f>J15/J7-1</f>
        <v>0.40185191731960446</v>
      </c>
      <c r="K16" s="16"/>
      <c r="L16" s="16">
        <f>L15/L7-1</f>
        <v>0.40185191731960446</v>
      </c>
      <c r="M16" s="16"/>
      <c r="N16" s="16"/>
      <c r="O16" s="16">
        <f>O15/O7-1</f>
        <v>9.5922088482611745E-3</v>
      </c>
      <c r="P16" s="16">
        <f>P15/P7-1</f>
        <v>-1.5938903802104054E-4</v>
      </c>
      <c r="Q16" s="8"/>
      <c r="R16" s="15"/>
      <c r="S16" s="15"/>
      <c r="T16" s="15"/>
      <c r="U16" s="15"/>
      <c r="V16" s="15"/>
    </row>
    <row r="17" spans="1:17" ht="16.149999999999999" customHeight="1">
      <c r="B17" s="3" t="str">
        <f>gb_wk!C33</f>
        <v>Q4</v>
      </c>
      <c r="C17" s="3" t="s">
        <v>89</v>
      </c>
      <c r="D17" s="15"/>
      <c r="E17" s="65">
        <f>gb_wk!D33</f>
        <v>400.47368643999999</v>
      </c>
      <c r="F17" s="8">
        <f>E17/O17</f>
        <v>0.59200846802702323</v>
      </c>
      <c r="G17" s="65">
        <f>gb_wk!E33</f>
        <v>337.74581161999998</v>
      </c>
      <c r="H17" s="8">
        <f>G17/P17</f>
        <v>0.55030919169062931</v>
      </c>
      <c r="I17" s="27"/>
      <c r="J17" s="65">
        <f>gb_wk!F33</f>
        <v>275.99245901</v>
      </c>
      <c r="K17" s="8">
        <f>J17/O17</f>
        <v>0.40799153197297672</v>
      </c>
      <c r="L17" s="65">
        <f>gb_wk!G33</f>
        <v>275.99245901</v>
      </c>
      <c r="M17" s="8">
        <f>L17/P17</f>
        <v>0.44969080830937069</v>
      </c>
      <c r="N17" s="27"/>
      <c r="O17" s="65">
        <f>E17+J17</f>
        <v>676.46614545</v>
      </c>
      <c r="P17" s="65">
        <f>G17+L17</f>
        <v>613.73827062999999</v>
      </c>
      <c r="Q17" s="8">
        <f>P17/O17</f>
        <v>0.90727122821753026</v>
      </c>
    </row>
    <row r="18" spans="1:17" ht="16.149999999999999" customHeight="1">
      <c r="B18" s="4"/>
      <c r="C18" s="4" t="s">
        <v>91</v>
      </c>
      <c r="D18" s="15"/>
      <c r="E18" s="13">
        <f>E17/E8-1</f>
        <v>-0.16822245902081256</v>
      </c>
      <c r="F18" s="13"/>
      <c r="G18" s="13">
        <f>G17/G8-1</f>
        <v>-0.19679515101216649</v>
      </c>
      <c r="H18" s="13"/>
      <c r="I18" s="27"/>
      <c r="J18" s="13">
        <f>J17/J8-1</f>
        <v>0.36638255585411672</v>
      </c>
      <c r="K18" s="13"/>
      <c r="L18" s="13">
        <f>L17/L8-1</f>
        <v>0.36638255585411672</v>
      </c>
      <c r="M18" s="13"/>
      <c r="N18" s="27"/>
      <c r="O18" s="13">
        <f>O17/O11-1</f>
        <v>3.4616177253864011E-2</v>
      </c>
      <c r="P18" s="13">
        <f>P17/P11-1</f>
        <v>4.4959486455730113E-2</v>
      </c>
      <c r="Q18" s="13"/>
    </row>
    <row r="19" spans="1:17">
      <c r="B19" s="3" t="s">
        <v>90</v>
      </c>
      <c r="C19" s="3" t="s">
        <v>89</v>
      </c>
      <c r="D19" s="15"/>
      <c r="E19" s="65">
        <f>E15+E13+E11+E17</f>
        <v>1600.2838170299999</v>
      </c>
      <c r="F19" s="8">
        <f>E19/O19</f>
        <v>0.5937740041390418</v>
      </c>
      <c r="G19" s="65">
        <f>G15+G13+G11+G17</f>
        <v>1349.28142215</v>
      </c>
      <c r="H19" s="8">
        <f>G19/P19</f>
        <v>0.55205576350533625</v>
      </c>
      <c r="I19" s="27"/>
      <c r="J19" s="65">
        <f>J15+J13+J11+J17</f>
        <v>1094.8220749</v>
      </c>
      <c r="K19" s="8">
        <f>J19/O19</f>
        <v>0.40622599586095803</v>
      </c>
      <c r="L19" s="65">
        <f>L15+L13+L11+L17</f>
        <v>1094.8220749</v>
      </c>
      <c r="M19" s="8">
        <f>L19/P19</f>
        <v>0.44794423649466375</v>
      </c>
      <c r="N19" s="27"/>
      <c r="O19" s="65">
        <f>O15+O13+O11+O17</f>
        <v>2695.1058919300003</v>
      </c>
      <c r="P19" s="65">
        <f>P15+P13+P11+P17</f>
        <v>2444.10349705</v>
      </c>
      <c r="Q19" s="8">
        <f>P19/O19</f>
        <v>0.90686733473754</v>
      </c>
    </row>
    <row r="20" spans="1:17">
      <c r="A20" s="4"/>
      <c r="B20" s="4"/>
      <c r="C20" s="4" t="s">
        <v>91</v>
      </c>
      <c r="D20" s="15"/>
      <c r="E20" s="13">
        <f>E19/E9-1</f>
        <v>-0.13591924507009834</v>
      </c>
      <c r="F20" s="13"/>
      <c r="G20" s="13">
        <f>G19/G9-1</f>
        <v>-0.15365720175559627</v>
      </c>
      <c r="H20" s="13"/>
      <c r="I20" s="16"/>
      <c r="J20" s="13">
        <f>J19/J9-1</f>
        <v>0.35126196445738511</v>
      </c>
      <c r="K20" s="13"/>
      <c r="L20" s="13">
        <f>L19/L9-1</f>
        <v>0.35126196445738511</v>
      </c>
      <c r="M20" s="13"/>
      <c r="N20" s="16"/>
      <c r="O20" s="13">
        <f>O19/O9-1</f>
        <v>1.2349319977938311E-2</v>
      </c>
      <c r="P20" s="13">
        <f>P19/P9-1</f>
        <v>1.6482733406458561E-2</v>
      </c>
      <c r="Q20" s="13"/>
    </row>
    <row r="21" spans="1:17">
      <c r="A21" s="92">
        <f>gb_wk!B45</f>
        <v>2006</v>
      </c>
      <c r="B21" s="92"/>
      <c r="C21" s="92"/>
      <c r="D21" s="15"/>
      <c r="E21" s="27"/>
      <c r="F21" s="16"/>
      <c r="G21" s="27"/>
      <c r="H21" s="16"/>
      <c r="I21" s="27"/>
      <c r="J21" s="27"/>
      <c r="K21" s="16"/>
      <c r="L21" s="27"/>
      <c r="M21" s="16"/>
      <c r="N21" s="27"/>
      <c r="O21" s="27"/>
      <c r="P21" s="27"/>
      <c r="Q21" s="16"/>
    </row>
    <row r="22" spans="1:17">
      <c r="A22" s="15"/>
      <c r="B22" s="9" t="str">
        <f>gb_wk!C45</f>
        <v>Q1</v>
      </c>
      <c r="C22" s="9" t="s">
        <v>89</v>
      </c>
      <c r="D22" s="15"/>
      <c r="E22" s="68">
        <f>gb_wk!D45</f>
        <v>386.22736443999997</v>
      </c>
      <c r="F22" s="16">
        <f>E22/O22</f>
        <v>0.58952569559547907</v>
      </c>
      <c r="G22" s="68">
        <f>gb_wk!E45</f>
        <v>339.98206220999998</v>
      </c>
      <c r="H22" s="16">
        <f>G22/P22</f>
        <v>0.5583508184365118</v>
      </c>
      <c r="I22" s="27"/>
      <c r="J22" s="68">
        <f>gb_wk!F45</f>
        <v>268.92196547999998</v>
      </c>
      <c r="K22" s="16">
        <f>J22/O22</f>
        <v>0.41047430440452098</v>
      </c>
      <c r="L22" s="68">
        <f>gb_wk!G45</f>
        <v>268.92196547999998</v>
      </c>
      <c r="M22" s="16">
        <f>L22/P22</f>
        <v>0.44164918156348809</v>
      </c>
      <c r="N22" s="27"/>
      <c r="O22" s="68">
        <f>E22+J22</f>
        <v>655.1493299199999</v>
      </c>
      <c r="P22" s="68">
        <f>G22+L22</f>
        <v>608.90402769000002</v>
      </c>
      <c r="Q22" s="16">
        <f>P22/O22</f>
        <v>0.92941257799096444</v>
      </c>
    </row>
    <row r="23" spans="1:17">
      <c r="A23" s="9"/>
      <c r="B23" s="9"/>
      <c r="C23" s="9" t="s">
        <v>91</v>
      </c>
      <c r="D23" s="15"/>
      <c r="E23" s="16">
        <f>E22/E11-1</f>
        <v>-3.448557122117224E-3</v>
      </c>
      <c r="F23" s="16"/>
      <c r="G23" s="16">
        <f>G22/G11-1</f>
        <v>5.8926084076851737E-2</v>
      </c>
      <c r="H23" s="16"/>
      <c r="I23" s="16"/>
      <c r="J23" s="16">
        <f>J22/J11-1</f>
        <v>9.9632983052642121E-3</v>
      </c>
      <c r="K23" s="16"/>
      <c r="L23" s="16">
        <f>L22/L11-1</f>
        <v>9.9632983052642121E-3</v>
      </c>
      <c r="M23" s="16"/>
      <c r="N23" s="16"/>
      <c r="O23" s="16">
        <f>O22/O11-1</f>
        <v>2.0133303217337861E-3</v>
      </c>
      <c r="P23" s="16">
        <f>P22/P11-1</f>
        <v>3.672863584444408E-2</v>
      </c>
      <c r="Q23" s="16"/>
    </row>
    <row r="24" spans="1:17" s="15" customFormat="1">
      <c r="A24" s="9"/>
      <c r="B24" s="9" t="str">
        <f>gb_wk!C50</f>
        <v>Q2</v>
      </c>
      <c r="C24" s="9" t="s">
        <v>89</v>
      </c>
      <c r="E24" s="68">
        <f>gb_wk!D50</f>
        <v>411.08704447999997</v>
      </c>
      <c r="F24" s="16">
        <f>E24/O24</f>
        <v>0.59005532134807859</v>
      </c>
      <c r="G24" s="68">
        <f>gb_wk!E50</f>
        <v>367.34351278000003</v>
      </c>
      <c r="H24" s="16">
        <f>G24/P24</f>
        <v>0.56259156492854168</v>
      </c>
      <c r="I24" s="27"/>
      <c r="J24" s="68">
        <f>gb_wk!F50</f>
        <v>285.60533267</v>
      </c>
      <c r="K24" s="16">
        <f>J24/O24</f>
        <v>0.40994467865192147</v>
      </c>
      <c r="L24" s="68">
        <f>gb_wk!G50</f>
        <v>285.60533267</v>
      </c>
      <c r="M24" s="16">
        <f>L24/P24</f>
        <v>0.43740843507145832</v>
      </c>
      <c r="N24" s="27"/>
      <c r="O24" s="68">
        <f>E24+J24</f>
        <v>696.69237714999997</v>
      </c>
      <c r="P24" s="68">
        <f>G24+L24</f>
        <v>652.94884545000002</v>
      </c>
      <c r="Q24" s="16">
        <f>P24/O24</f>
        <v>0.93721255874946674</v>
      </c>
    </row>
    <row r="25" spans="1:17" s="15" customFormat="1">
      <c r="A25" s="9"/>
      <c r="B25" s="9"/>
      <c r="C25" s="9" t="s">
        <v>91</v>
      </c>
      <c r="E25" s="16">
        <f>E24/E13-1</f>
        <v>1.3519920458053836E-3</v>
      </c>
      <c r="F25" s="16"/>
      <c r="G25" s="16">
        <f>G24/G13-1</f>
        <v>4.4449937935866268E-2</v>
      </c>
      <c r="H25" s="16"/>
      <c r="I25" s="16"/>
      <c r="J25" s="16">
        <f>J24/J13-1</f>
        <v>3.4412627572062204E-2</v>
      </c>
      <c r="K25" s="16"/>
      <c r="L25" s="16">
        <f>L24/L13-1</f>
        <v>3.4412627572062204E-2</v>
      </c>
      <c r="M25" s="16"/>
      <c r="N25" s="16"/>
      <c r="O25" s="16">
        <f>O24/O13-1</f>
        <v>1.4646038799548178E-2</v>
      </c>
      <c r="P25" s="16">
        <f>P24/P13-1</f>
        <v>4.0035667594662261E-2</v>
      </c>
      <c r="Q25" s="16"/>
    </row>
    <row r="26" spans="1:17" s="15" customFormat="1">
      <c r="A26" s="9"/>
      <c r="B26" s="9" t="str">
        <f>gb_wk!C56</f>
        <v>Q3</v>
      </c>
      <c r="C26" s="9" t="s">
        <v>89</v>
      </c>
      <c r="E26" s="68">
        <f>gb_wk!D56</f>
        <v>405.62772553000002</v>
      </c>
      <c r="F26" s="16">
        <f>E26/O26</f>
        <v>0.58512041869186282</v>
      </c>
      <c r="G26" s="68">
        <f>gb_wk!E56</f>
        <v>356.51254413999999</v>
      </c>
      <c r="H26" s="16">
        <f>G26/P26</f>
        <v>0.55348532613123191</v>
      </c>
      <c r="I26" s="27"/>
      <c r="J26" s="68">
        <f>gb_wk!F56</f>
        <v>287.61030304000002</v>
      </c>
      <c r="K26" s="16">
        <f>J26/O26</f>
        <v>0.41487958130813707</v>
      </c>
      <c r="L26" s="68">
        <f>gb_wk!G56</f>
        <v>287.61030304000002</v>
      </c>
      <c r="M26" s="16">
        <f>L26/P26</f>
        <v>0.44651467386876803</v>
      </c>
      <c r="N26" s="27"/>
      <c r="O26" s="68">
        <f>E26+J26</f>
        <v>693.2380285700001</v>
      </c>
      <c r="P26" s="68">
        <f>G26+L26</f>
        <v>644.12284718000001</v>
      </c>
      <c r="Q26" s="16">
        <f>P26/O26</f>
        <v>0.92915105726194214</v>
      </c>
    </row>
    <row r="27" spans="1:17" s="15" customFormat="1">
      <c r="A27" s="9"/>
      <c r="B27" s="9"/>
      <c r="C27" s="9" t="s">
        <v>91</v>
      </c>
      <c r="E27" s="16">
        <f>E26/E15-1</f>
        <v>9.7420103427479088E-3</v>
      </c>
      <c r="F27" s="16"/>
      <c r="G27" s="16">
        <f>G26/G15-1</f>
        <v>5.2396677678934855E-2</v>
      </c>
      <c r="H27" s="16"/>
      <c r="I27" s="16"/>
      <c r="J27" s="16">
        <f>J26/J15-1</f>
        <v>4.0344863351015281E-2</v>
      </c>
      <c r="K27" s="16"/>
      <c r="L27" s="16">
        <f>L26/L15-1</f>
        <v>4.0344863351015281E-2</v>
      </c>
      <c r="M27" s="16"/>
      <c r="N27" s="16"/>
      <c r="O27" s="16">
        <f>O26/O15-1</f>
        <v>2.2217277864907903E-2</v>
      </c>
      <c r="P27" s="16">
        <f>P26/P15-1</f>
        <v>4.6981039297321781E-2</v>
      </c>
      <c r="Q27" s="16"/>
    </row>
    <row r="28" spans="1:17" s="15" customFormat="1" ht="16.149999999999999" customHeight="1">
      <c r="A28" s="9"/>
      <c r="B28" s="9" t="str">
        <f>gb_wk!C62</f>
        <v>Q4</v>
      </c>
      <c r="C28" s="9" t="s">
        <v>89</v>
      </c>
      <c r="E28" s="68">
        <f>gb_wk!D62</f>
        <v>412.05827742000002</v>
      </c>
      <c r="F28" s="16">
        <f>E28/O28</f>
        <v>0.59178454060557883</v>
      </c>
      <c r="G28" s="68">
        <f>gb_wk!E62</f>
        <v>372.05610228</v>
      </c>
      <c r="H28" s="16">
        <f>G28/P28</f>
        <v>0.56690321346199024</v>
      </c>
      <c r="I28" s="27"/>
      <c r="J28" s="68">
        <f>gb_wk!F62</f>
        <v>284.23952887000002</v>
      </c>
      <c r="K28" s="16">
        <f>J28/O28</f>
        <v>0.40821545939442111</v>
      </c>
      <c r="L28" s="68">
        <f>gb_wk!G62</f>
        <v>284.23952887000002</v>
      </c>
      <c r="M28" s="16">
        <f>L28/P28</f>
        <v>0.43309678653800993</v>
      </c>
      <c r="N28" s="27"/>
      <c r="O28" s="68">
        <f>E28+J28</f>
        <v>696.29780629000004</v>
      </c>
      <c r="P28" s="68">
        <f>G28+L28</f>
        <v>656.29563114999996</v>
      </c>
      <c r="Q28" s="16">
        <f>P28/O28</f>
        <v>0.94255019220419656</v>
      </c>
    </row>
    <row r="29" spans="1:17" s="15" customFormat="1" ht="16.149999999999999" customHeight="1">
      <c r="A29" s="9"/>
      <c r="B29" s="4"/>
      <c r="C29" s="4" t="s">
        <v>91</v>
      </c>
      <c r="E29" s="13">
        <f>E28/E17-1</f>
        <v>2.8927221368727052E-2</v>
      </c>
      <c r="F29" s="13"/>
      <c r="G29" s="13">
        <f>G28/G17-1</f>
        <v>0.10158613217268475</v>
      </c>
      <c r="H29" s="13"/>
      <c r="I29" s="27"/>
      <c r="J29" s="13">
        <f>J28/J17-1</f>
        <v>2.9881504333787667E-2</v>
      </c>
      <c r="K29" s="13"/>
      <c r="L29" s="13">
        <f>L28/L17-1</f>
        <v>2.9881504333787667E-2</v>
      </c>
      <c r="M29" s="13"/>
      <c r="N29" s="27"/>
      <c r="O29" s="13">
        <f>O28/O17-1</f>
        <v>2.9316560737577824E-2</v>
      </c>
      <c r="P29" s="13">
        <f>P28/P17-1</f>
        <v>6.9341220120288316E-2</v>
      </c>
      <c r="Q29" s="13"/>
    </row>
    <row r="30" spans="1:17" s="15" customFormat="1">
      <c r="A30" s="9"/>
      <c r="B30" s="9" t="s">
        <v>90</v>
      </c>
      <c r="C30" s="9" t="s">
        <v>89</v>
      </c>
      <c r="E30" s="68">
        <f>E26+E24+E22+E28</f>
        <v>1615.0004118699999</v>
      </c>
      <c r="F30" s="16">
        <f>E30/O30</f>
        <v>0.58912002712803946</v>
      </c>
      <c r="G30" s="68">
        <f>G26+G24+G22+G28</f>
        <v>1435.89422141</v>
      </c>
      <c r="H30" s="16">
        <f>G30/P30</f>
        <v>0.5603989681210827</v>
      </c>
      <c r="I30" s="27"/>
      <c r="J30" s="68">
        <f>J26+J24+J22+J28</f>
        <v>1126.3771300599999</v>
      </c>
      <c r="K30" s="16">
        <f>J30/O30</f>
        <v>0.41087997287196043</v>
      </c>
      <c r="L30" s="68">
        <f>L26+L24+L22+L28</f>
        <v>1126.3771300599999</v>
      </c>
      <c r="M30" s="16">
        <f>L30/P30</f>
        <v>0.4396010318789173</v>
      </c>
      <c r="N30" s="27"/>
      <c r="O30" s="68">
        <f>O26+O24+O22+O28</f>
        <v>2741.37754193</v>
      </c>
      <c r="P30" s="68">
        <f>P26+P24+P22+P28</f>
        <v>2562.2713514699999</v>
      </c>
      <c r="Q30" s="16">
        <f>P30/O30</f>
        <v>0.93466562422704291</v>
      </c>
    </row>
    <row r="31" spans="1:17" s="11" customFormat="1">
      <c r="A31" s="4"/>
      <c r="B31" s="4"/>
      <c r="C31" s="4" t="s">
        <v>91</v>
      </c>
      <c r="E31" s="13">
        <f>E30/E19-1</f>
        <v>9.1962404939598397E-3</v>
      </c>
      <c r="F31" s="13"/>
      <c r="G31" s="13">
        <f>G30/G19-1</f>
        <v>6.4191797084101054E-2</v>
      </c>
      <c r="H31" s="13"/>
      <c r="I31" s="13"/>
      <c r="J31" s="13">
        <f>J30/J19-1</f>
        <v>2.8822085235066242E-2</v>
      </c>
      <c r="K31" s="13"/>
      <c r="L31" s="13">
        <f>L30/L19-1</f>
        <v>2.8822085235066242E-2</v>
      </c>
      <c r="M31" s="13"/>
      <c r="N31" s="13"/>
      <c r="O31" s="13">
        <f>O30/O19-1</f>
        <v>1.7168768818528246E-2</v>
      </c>
      <c r="P31" s="13">
        <f>P30/P19-1</f>
        <v>4.834813851484876E-2</v>
      </c>
      <c r="Q31" s="13"/>
    </row>
    <row r="32" spans="1:17">
      <c r="A32" s="9"/>
      <c r="B32" s="9"/>
      <c r="C32" s="9"/>
      <c r="D32" s="15"/>
      <c r="E32" s="16"/>
      <c r="F32" s="16"/>
      <c r="G32" s="16"/>
      <c r="H32" s="16"/>
      <c r="I32" s="16"/>
      <c r="J32" s="16"/>
      <c r="K32" s="16"/>
      <c r="L32" s="16"/>
      <c r="M32" s="16"/>
      <c r="N32" s="16"/>
      <c r="O32" s="16"/>
      <c r="P32" s="16"/>
      <c r="Q32" s="16"/>
    </row>
    <row r="33" spans="1:17">
      <c r="A33" s="9"/>
      <c r="B33" s="9"/>
      <c r="C33" s="9"/>
      <c r="D33" s="15"/>
      <c r="E33" s="16"/>
      <c r="F33" s="16"/>
      <c r="G33" s="16"/>
      <c r="H33" s="16"/>
      <c r="I33" s="16"/>
      <c r="J33" s="16"/>
      <c r="K33" s="16"/>
      <c r="L33" s="16"/>
      <c r="M33" s="16"/>
      <c r="N33" s="16"/>
      <c r="O33" s="16"/>
      <c r="P33" s="16"/>
      <c r="Q33" s="16"/>
    </row>
    <row r="34" spans="1:17">
      <c r="A34" s="9"/>
      <c r="B34" s="9"/>
      <c r="C34" s="9"/>
      <c r="D34" s="15"/>
      <c r="E34" s="16"/>
      <c r="F34" s="16"/>
      <c r="G34" s="16"/>
      <c r="H34" s="16"/>
      <c r="I34" s="16"/>
      <c r="J34" s="16"/>
      <c r="K34" s="16"/>
      <c r="L34" s="16"/>
      <c r="M34" s="16"/>
      <c r="N34" s="16"/>
      <c r="O34" s="16"/>
      <c r="P34" s="16"/>
      <c r="Q34" s="16"/>
    </row>
    <row r="35" spans="1:17">
      <c r="A35" s="34" t="str">
        <f>說明!B18</f>
        <v>1.</v>
      </c>
      <c r="B35" s="34" t="str">
        <f>說明!C18</f>
        <v>資料來源：總額各案件核定醫療費用分攤明細(PHFB_DECIDE_DIST)</v>
      </c>
      <c r="E35" s="7"/>
      <c r="F35" s="8"/>
      <c r="G35" s="7"/>
      <c r="H35" s="8"/>
      <c r="J35" s="7"/>
      <c r="K35" s="8"/>
      <c r="L35" s="7"/>
      <c r="M35" s="8"/>
      <c r="O35" s="7"/>
      <c r="P35" s="7"/>
      <c r="Q35" s="8"/>
    </row>
    <row r="36" spans="1:17">
      <c r="A36" s="34" t="str">
        <f>說明!B19</f>
        <v>2.</v>
      </c>
      <c r="B36" s="34" t="str">
        <f>說明!C19</f>
        <v>資料處理：</v>
      </c>
      <c r="E36" s="7"/>
      <c r="F36" s="8"/>
      <c r="G36" s="7"/>
      <c r="H36" s="8"/>
      <c r="J36" s="7"/>
      <c r="K36" s="8"/>
      <c r="L36" s="7"/>
      <c r="M36" s="8"/>
      <c r="O36" s="7"/>
      <c r="P36" s="7"/>
      <c r="Q36" s="8"/>
    </row>
    <row r="37" spans="1:17">
      <c r="A37" s="34"/>
      <c r="B37" s="34" t="str">
        <f>說明!C20</f>
        <v>※本表僅含當季核定之送核、補報資料</v>
      </c>
      <c r="E37" s="7"/>
      <c r="F37" s="8"/>
      <c r="G37" s="7"/>
      <c r="H37" s="8"/>
      <c r="J37" s="7"/>
      <c r="K37" s="8"/>
      <c r="L37" s="7"/>
      <c r="M37" s="8"/>
      <c r="O37" s="7"/>
      <c r="P37" s="7"/>
      <c r="Q37" s="8"/>
    </row>
    <row r="38" spans="1:17">
      <c r="A38" s="34"/>
      <c r="B38" s="34" t="str">
        <f>說明!C21</f>
        <v>※本表不含申複、爭議審議等之核定醫療點數及費用</v>
      </c>
      <c r="E38" s="7"/>
      <c r="F38" s="8"/>
      <c r="G38" s="7"/>
      <c r="H38" s="8"/>
      <c r="J38" s="7"/>
      <c r="K38" s="8"/>
      <c r="L38" s="7"/>
      <c r="M38" s="8"/>
      <c r="O38" s="7"/>
      <c r="P38" s="7"/>
      <c r="Q38" s="8"/>
    </row>
    <row r="39" spans="1:17">
      <c r="A39" s="34"/>
      <c r="B39" s="34" t="str">
        <f>說明!C22</f>
        <v>※本表不含代辦、總額外及追扣、補付付款之項目</v>
      </c>
      <c r="E39" s="7"/>
      <c r="F39" s="8"/>
      <c r="G39" s="7"/>
      <c r="H39" s="8"/>
      <c r="J39" s="7"/>
      <c r="K39" s="8"/>
      <c r="L39" s="7"/>
      <c r="M39" s="8"/>
      <c r="O39" s="7"/>
      <c r="P39" s="7"/>
      <c r="Q39" s="8"/>
    </row>
    <row r="40" spans="1:17">
      <c r="A40" s="34"/>
      <c r="B40" s="34" t="str">
        <f>說明!C23</f>
        <v>※本表所謂浮動點值部分係指各總額別中一般部門預算之浮動點值部份</v>
      </c>
      <c r="E40" s="7"/>
      <c r="F40" s="8"/>
      <c r="G40" s="7"/>
      <c r="H40" s="8"/>
      <c r="J40" s="7"/>
      <c r="K40" s="8"/>
      <c r="L40" s="7"/>
      <c r="M40" s="8"/>
      <c r="O40" s="7"/>
      <c r="P40" s="7"/>
      <c r="Q40" s="8"/>
    </row>
    <row r="41" spans="1:17">
      <c r="A41" s="34"/>
      <c r="B41" s="34" t="str">
        <f>說明!C24</f>
        <v>※本表所謂固定點值部分係指各總額別中一般部門預算之非浮動點值及專款部份</v>
      </c>
    </row>
    <row r="42" spans="1:17">
      <c r="A42" s="34"/>
      <c r="B42" s="34" t="str">
        <f>說明!C25</f>
        <v>※層級別中不含處方釋出之醫療點數及費用</v>
      </c>
    </row>
    <row r="43" spans="1:17">
      <c r="A43" s="34"/>
      <c r="B43" s="34"/>
    </row>
    <row r="44" spans="1:17">
      <c r="A44" s="34"/>
      <c r="B44" s="34"/>
    </row>
    <row r="45" spans="1:17">
      <c r="A45" s="34"/>
      <c r="B45" s="34"/>
    </row>
  </sheetData>
  <mergeCells count="7">
    <mergeCell ref="A21:C21"/>
    <mergeCell ref="A4:C4"/>
    <mergeCell ref="A10:C10"/>
    <mergeCell ref="A1:Q1"/>
    <mergeCell ref="E2:H2"/>
    <mergeCell ref="J2:M2"/>
    <mergeCell ref="O2:Q2"/>
  </mergeCells>
  <phoneticPr fontId="5" type="noConversion"/>
  <hyperlinks>
    <hyperlink ref="A1:Q1" location="目錄!A1" display="全民健康保險醫療服務核定醫療點數及費用統計_總表"/>
  </hyperlinks>
  <printOptions horizontalCentered="1" verticalCentered="1"/>
  <pageMargins left="0.55118110236220474" right="0.55118110236220474" top="0.78740157480314965" bottom="0.78740157480314965" header="0.51181102362204722" footer="0.51181102362204722"/>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24</vt:i4>
      </vt:variant>
    </vt:vector>
  </HeadingPairs>
  <TitlesOfParts>
    <vt:vector size="24" baseType="lpstr">
      <vt:lpstr>目錄</vt:lpstr>
      <vt:lpstr>說明</vt:lpstr>
      <vt:lpstr>tot_wk</vt:lpstr>
      <vt:lpstr>總表</vt:lpstr>
      <vt:lpstr>gb_wk</vt:lpstr>
      <vt:lpstr>牙醫</vt:lpstr>
      <vt:lpstr>中醫</vt:lpstr>
      <vt:lpstr>西基 </vt:lpstr>
      <vt:lpstr>醫院 </vt:lpstr>
      <vt:lpstr>洗腎</vt:lpstr>
      <vt:lpstr>buu_wk</vt:lpstr>
      <vt:lpstr>T</vt:lpstr>
      <vt:lpstr>N</vt:lpstr>
      <vt:lpstr>C</vt:lpstr>
      <vt:lpstr>S</vt:lpstr>
      <vt:lpstr>K</vt:lpstr>
      <vt:lpstr>E</vt:lpstr>
      <vt:lpstr>分局別</vt:lpstr>
      <vt:lpstr>lev_wk</vt:lpstr>
      <vt:lpstr>醫學中心</vt:lpstr>
      <vt:lpstr>區域醫院</vt:lpstr>
      <vt:lpstr>地區醫院</vt:lpstr>
      <vt:lpstr>基層院所</vt:lpstr>
      <vt:lpstr>交付機構</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a140014</dc:creator>
  <cp:lastModifiedBy>Administrator</cp:lastModifiedBy>
  <cp:lastPrinted>2006-12-21T01:28:13Z</cp:lastPrinted>
  <dcterms:created xsi:type="dcterms:W3CDTF">2006-05-10T02:09:18Z</dcterms:created>
  <dcterms:modified xsi:type="dcterms:W3CDTF">2007-08-23T07:47:51Z</dcterms:modified>
</cp:coreProperties>
</file>